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NS - Lighting\"/>
    </mc:Choice>
  </mc:AlternateContent>
  <xr:revisionPtr revIDLastSave="0" documentId="13_ncr:1_{A285B0BB-FFAD-45CB-9043-66AB62EC71A0}"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B17" i="7"/>
  <c r="B16" i="7"/>
  <c r="E17" i="7"/>
  <c r="G5" i="7" l="1"/>
  <c r="H5" i="7" s="1"/>
  <c r="H20" i="13"/>
  <c r="I20" i="13"/>
  <c r="I4" i="7"/>
  <c r="J19" i="13"/>
  <c r="K19" i="13" s="1"/>
  <c r="N19" i="13"/>
  <c r="O19" i="13" s="1"/>
  <c r="P5" i="13"/>
  <c r="P13" i="13"/>
  <c r="B19" i="5"/>
  <c r="E18" i="5" s="1"/>
  <c r="J4" i="5" s="1"/>
  <c r="L13" i="13"/>
  <c r="F21" i="13"/>
  <c r="J14" i="5"/>
  <c r="H14" i="5"/>
  <c r="G15" i="5"/>
  <c r="H10" i="5"/>
  <c r="H6" i="5"/>
  <c r="H11" i="5"/>
  <c r="H12" i="5"/>
  <c r="H4" i="5"/>
  <c r="H13" i="5"/>
  <c r="H5" i="5"/>
  <c r="H7" i="5"/>
  <c r="H8" i="5"/>
  <c r="H9" i="5"/>
  <c r="I5" i="7" l="1"/>
  <c r="G6" i="7"/>
  <c r="H21" i="13"/>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s="1"/>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s="1"/>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s="1"/>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s="1"/>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<sst xmlns="http://schemas.openxmlformats.org/spreadsheetml/2006/main" count="273" uniqueCount="139">
  <si>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</si>
  <si>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</si>
  <si>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</si>
  <si>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</si>
  <si>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</si>
  <si>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</si>
  <si>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</si>
  <si>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</si>
  <si>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</si>
  <si>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</si>
  <si>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</si>
  <si>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</si>
  <si>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</si>
  <si>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</si>
  <si>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</si>
  <si>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</si>
  <si>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</si>
  <si>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</si>
  <si>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</si>
  <si>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</si>
  <si>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</si>
  <si>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</si>
  <si>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</si>
  <si>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</si>
  <si>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</si>
  <si>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</si>
  <si>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</si>
  <si>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</si>
  <si>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</si>
  <si>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</si>
  <si>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</si>
  <si>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</si>
  <si>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</si>
  <si>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</si>
  <si>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</si>
  <si>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</si>
  <si>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</si>
  <si>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</si>
  <si>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</si>
  <si>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</si>
  <si>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</si>
  <si>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</si>
  <si>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</si>
  <si>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</si>
  <si>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</si>
  <si>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</si>
  <si>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</si>
  <si>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</si>
  <si>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</si>
  <si>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</si>
  <si>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</si>
  <si>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</si>
  <si>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</si>
  <si>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</si>
  <si>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</si>
  <si>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</si>
  <si>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</si>
  <si>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</si>
  <si>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</si>
  <si>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</si>
  <si>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</si>
  <si>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</si>
  <si>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</si>
  <si>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</si>
  <si>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</si>
  <si>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</si>
  <si>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</si>
  <si>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</si>
  <si>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</si>
  <si>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</si>
  <si>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</si>
  <si>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</si>
  <si>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</si>
  <si>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</si>
  <si>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</si>
  <si>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</si>
  <si>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</si>
  <si>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</si>
  <si>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</si>
  <si>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</si>
  <si>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</si>
  <si>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</si>
  <si>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</si>
  <si>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</si>
  <si>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</si>
  <si>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</si>
  <si>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</si>
  <si>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</si>
  <si>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</si>
  <si>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</si>
  <si>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</si>
  <si>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</si>
  <si>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</si>
  <si>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</si>
  <si>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</si>
  <si>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</si>
  <si>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</si>
  <si>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</si>
  <si>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</si>
  <si>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</si>
  <si>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</si>
  <si>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</si>
  <si>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</si>
  <si>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</si>
  <si>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</si>
  <si>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</si>
  <si>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</si>
  <si>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</si>
  <si>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</si>
  <si>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</si>
  <si>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</si>
  <si>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</si>
  <si>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</si>
  <si>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</si>
  <si>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</si>
  <si>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</si>
  <si>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</si>
  <si>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</si>
  <si>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</si>
  <si>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</si>
  <si>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</si>
  <si>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</si>
  <si>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</si>
  <si>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</si>
  <si>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</si>
  <si>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</si>
  <si>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</si>
  <si>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</si>
  <si>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</si>
  <si>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</si>
  <si>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</si>
  <si>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</si>
  <si>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</si>
  <si>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</si>
  <si>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</si>
  <si>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</si>
  <si>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</si>
  <si>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</si>
  <si>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Main-Boundary-Fulton Safe Access to Transit Enhancements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</si>
</sst>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7">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2" borderId="1" xfId="0" applyFill="1" applyBorder="1" applyAlignment="1" applyProtection="1">
      <alignment horizontal="left" wrapText="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choudc01\TGC_Projects\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3" t="s">
        <v>32</v>
      </c>
      <c r="E6" s="114"/>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3" t="s">
        <v>32</v>
      </c>
      <c r="E6" s="114"/>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3" t="s">
        <v>33</v>
      </c>
      <c r="E8" s="114"/>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1.52097996324E-2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6.7192703485499994E-2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abSelected="1" zoomScale="115" zoomScaleNormal="115" workbookViewId="0">
      <selection activeCell="B8" sqref="B8"/>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ht="60" x14ac:dyDescent="0.25">
      <c r="A6" s="5" t="s">
        <v>8</v>
      </c>
      <c r="B6" s="112" t="s">
        <v>138</v>
      </c>
      <c r="D6" s="106"/>
      <c r="E6" s="104" t="s">
        <v>131</v>
      </c>
    </row>
    <row r="7" spans="1:5" x14ac:dyDescent="0.25">
      <c r="A7" s="5" t="s">
        <v>54</v>
      </c>
      <c r="B7" s="6">
        <v>191</v>
      </c>
      <c r="D7" s="102"/>
      <c r="E7" s="104" t="s">
        <v>132</v>
      </c>
    </row>
    <row r="8" spans="1:5" x14ac:dyDescent="0.25">
      <c r="A8" s="5" t="s">
        <v>55</v>
      </c>
      <c r="B8" s="6"/>
      <c r="D8" s="107"/>
      <c r="E8" s="104" t="s">
        <v>133</v>
      </c>
    </row>
    <row r="9" spans="1:5" x14ac:dyDescent="0.25">
      <c r="A9" s="5" t="s">
        <v>77</v>
      </c>
      <c r="B9" s="57" t="s">
        <v>73</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2022</v>
      </c>
      <c r="D13" s="27"/>
      <c r="E13" s="50"/>
    </row>
    <row r="14" spans="1:5" x14ac:dyDescent="0.25">
      <c r="A14" s="5" t="s">
        <v>87</v>
      </c>
      <c r="B14" s="6" t="s">
        <v>124</v>
      </c>
      <c r="D14" s="27"/>
      <c r="E14" s="50"/>
    </row>
    <row r="15" spans="1:5" x14ac:dyDescent="0.25">
      <c r="A15" s="5" t="s">
        <v>79</v>
      </c>
      <c r="B15" s="57" t="s">
        <v>83</v>
      </c>
      <c r="D15" s="27"/>
      <c r="E15" s="50"/>
    </row>
    <row r="16" spans="1:5" x14ac:dyDescent="0.25">
      <c r="A16" s="5" t="s">
        <v>86</v>
      </c>
      <c r="B16" s="6">
        <v>24.29</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05">
        <v>4464</v>
      </c>
      <c r="D20" s="27"/>
      <c r="E20" s="50"/>
      <c r="L20" s="104"/>
    </row>
    <row r="21" spans="1:12" x14ac:dyDescent="0.25">
      <c r="A21" s="5" t="s">
        <v>89</v>
      </c>
      <c r="B21" s="6">
        <v>0.5</v>
      </c>
      <c r="D21" s="27"/>
      <c r="E21" s="50"/>
    </row>
    <row r="22" spans="1:12" x14ac:dyDescent="0.25">
      <c r="D22" s="27"/>
      <c r="E22" s="50"/>
    </row>
    <row r="23" spans="1:12" x14ac:dyDescent="0.25">
      <c r="D23" s="27"/>
      <c r="E23" s="50"/>
    </row>
    <row r="24" spans="1:12" x14ac:dyDescent="0.25">
      <c r="A24" s="64" t="s">
        <v>134</v>
      </c>
      <c r="B24" s="65">
        <v>1350.667966189297</v>
      </c>
      <c r="D24" s="27"/>
      <c r="E24" s="50"/>
    </row>
    <row r="25" spans="1:12" s="91" customFormat="1" x14ac:dyDescent="0.25">
      <c r="A25" s="64" t="s">
        <v>103</v>
      </c>
      <c r="B25" s="65">
        <v>1569.1191492780608</v>
      </c>
      <c r="D25" s="27"/>
      <c r="E25" s="50"/>
    </row>
    <row r="26" spans="1:12" x14ac:dyDescent="0.25">
      <c r="A26" s="64" t="s">
        <v>135</v>
      </c>
      <c r="B26" s="65">
        <v>2046.0655281423415</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3270.0985561050911</v>
      </c>
    </row>
    <row r="32" spans="1:12" x14ac:dyDescent="0.25">
      <c r="A32" s="10" t="s">
        <v>117</v>
      </c>
      <c r="B32" s="108">
        <f>Calculations!Q38</f>
        <v>187.81599758136969</v>
      </c>
    </row>
    <row r="34" spans="1:5" x14ac:dyDescent="0.25">
      <c r="A34" s="11" t="s">
        <v>84</v>
      </c>
    </row>
    <row r="35" spans="1:5" x14ac:dyDescent="0.25">
      <c r="A35" s="10" t="s">
        <v>120</v>
      </c>
      <c r="B35" s="108">
        <f>$B$31+$B$32</f>
        <v>3457.9145536864607</v>
      </c>
    </row>
    <row r="37" spans="1:5" x14ac:dyDescent="0.25">
      <c r="A37" s="11" t="str">
        <f>"Emissions Reductions (Life of Project = "&amp;'Assumed Values'!C9&amp;")"</f>
        <v>Emissions Reductions (Life of Project = 12)</v>
      </c>
      <c r="E37" s="96"/>
    </row>
    <row r="38" spans="1:5" x14ac:dyDescent="0.25">
      <c r="A38" s="10" t="s">
        <v>136</v>
      </c>
      <c r="B38" s="109">
        <f>Calculations!K38</f>
        <v>2.2236929661025338</v>
      </c>
    </row>
    <row r="39" spans="1:5" x14ac:dyDescent="0.25">
      <c r="A39" s="10" t="s">
        <v>81</v>
      </c>
      <c r="B39" s="109">
        <f>Calculations!O38</f>
        <v>0.50335669075736678</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2.1647428222889786E-2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1.3358654263631475E-2</v>
      </c>
      <c r="F6" s="74">
        <f t="shared" ref="F6:F37" si="1">F5+1</f>
        <v>2019</v>
      </c>
      <c r="G6" s="71">
        <f>$C$5</f>
        <v>2.1647428222889786E-2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1.5501116282232053E-2</v>
      </c>
      <c r="F7" s="12">
        <f t="shared" si="1"/>
        <v>2020</v>
      </c>
      <c r="G7" s="71">
        <f t="shared" ref="G7:G12" si="5">$C$5</f>
        <v>2.1647428222889786E-2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2.1647428222889786E-2</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25">
      <c r="B9" s="27"/>
      <c r="C9" s="82"/>
      <c r="F9" s="12">
        <f t="shared" si="1"/>
        <v>2022</v>
      </c>
      <c r="G9" s="71">
        <f t="shared" si="5"/>
        <v>2.1647428222889786E-2</v>
      </c>
      <c r="H9" s="73">
        <f>IF(AND(F9&gt;=Year_Open_to_Traffic?,F9&lt;Year_Open_to_Traffic?+'Assumed Values'!C$9),1,0)</f>
        <v>1</v>
      </c>
      <c r="I9" s="77">
        <f>IF(F9=Year_Open_to_Traffic?,Calculations!$C$12,(I8+I8*G9))</f>
        <v>3211.5107913669067</v>
      </c>
      <c r="J9" s="77">
        <f>I9*'Assumed Values'!$C$8</f>
        <v>215.7900923448</v>
      </c>
      <c r="K9" s="93">
        <f t="shared" si="2"/>
        <v>6.1845693938217608E-2</v>
      </c>
      <c r="L9" s="79">
        <f>(K9*H9)*'Assumed Values'!$C$6</f>
        <v>464.33747008813782</v>
      </c>
      <c r="M9" s="80">
        <f t="shared" si="3"/>
        <v>354.24083270450132</v>
      </c>
      <c r="N9" s="77">
        <f>I9*'Assumed Values'!$C$7</f>
        <v>48.846435653981011</v>
      </c>
      <c r="O9" s="93">
        <f t="shared" si="4"/>
        <v>1.399943441512813E-2</v>
      </c>
      <c r="P9" s="79">
        <f>(O9*H9)*'Assumed Values'!$C$5</f>
        <v>26.668922560819087</v>
      </c>
      <c r="Q9" s="80">
        <f t="shared" si="0"/>
        <v>20.345593332115108</v>
      </c>
    </row>
    <row r="10" spans="2:19" x14ac:dyDescent="0.25">
      <c r="B10" s="68" t="s">
        <v>94</v>
      </c>
      <c r="F10" s="74">
        <f t="shared" si="1"/>
        <v>2023</v>
      </c>
      <c r="G10" s="71">
        <f t="shared" si="5"/>
        <v>2.1647428222889786E-2</v>
      </c>
      <c r="H10" s="73">
        <f>IF(AND(F10&gt;=Year_Open_to_Traffic?,F10&lt;Year_Open_to_Traffic?+'Assumed Values'!C$9),1,0)</f>
        <v>1</v>
      </c>
      <c r="I10" s="77">
        <f>IF(F10=Year_Open_to_Traffic?,Calculations!$C$12,(I9+I9*G10))</f>
        <v>3281.0317407100579</v>
      </c>
      <c r="J10" s="77">
        <f>I10*'Assumed Values'!$C$8</f>
        <v>220.46139288004483</v>
      </c>
      <c r="K10" s="93">
        <f t="shared" si="2"/>
        <v>6.3184494158639984E-2</v>
      </c>
      <c r="L10" s="79">
        <f>(K10*H10)*'Assumed Values'!$C$6</f>
        <v>474.38918214306898</v>
      </c>
      <c r="M10" s="80">
        <f t="shared" si="3"/>
        <v>338.23293056456879</v>
      </c>
      <c r="N10" s="77">
        <f>I10*'Assumed Values'!$C$7</f>
        <v>49.90383536374457</v>
      </c>
      <c r="O10" s="93">
        <f t="shared" si="4"/>
        <v>1.4302486166790668E-2</v>
      </c>
      <c r="P10" s="79">
        <f>(O10*H10)*'Assumed Values'!$C$5</f>
        <v>27.246236147736223</v>
      </c>
      <c r="Q10" s="80">
        <f t="shared" si="0"/>
        <v>19.426189816284271</v>
      </c>
    </row>
    <row r="11" spans="2:19" x14ac:dyDescent="0.25">
      <c r="B11" s="69" t="s">
        <v>96</v>
      </c>
      <c r="C11" s="61">
        <f>'Inputs &amp; Outputs'!B20/'Assumed Values'!$C$13</f>
        <v>3211.5107913669067</v>
      </c>
      <c r="F11" s="12">
        <f t="shared" si="1"/>
        <v>2024</v>
      </c>
      <c r="G11" s="71">
        <f t="shared" si="5"/>
        <v>2.1647428222889786E-2</v>
      </c>
      <c r="H11" s="73">
        <f>IF(AND(F11&gt;=Year_Open_to_Traffic?,F11&lt;Year_Open_to_Traffic?+'Assumed Values'!C$9),1,0)</f>
        <v>1</v>
      </c>
      <c r="I11" s="77">
        <f>IF(F11=Year_Open_to_Traffic?,Calculations!$C$12,(I10+I10*G11))</f>
        <v>3352.057639814102</v>
      </c>
      <c r="J11" s="77">
        <f>I11*'Assumed Values'!$C$8</f>
        <v>225.2338150583339</v>
      </c>
      <c r="K11" s="93">
        <f t="shared" si="2"/>
        <v>6.4552275960738745E-2</v>
      </c>
      <c r="L11" s="79">
        <f>(K11*H11)*'Assumed Values'!$C$6</f>
        <v>484.65848791322651</v>
      </c>
      <c r="M11" s="80">
        <f t="shared" si="3"/>
        <v>322.94841462764771</v>
      </c>
      <c r="N11" s="77">
        <f>I11*'Assumed Values'!$C$7</f>
        <v>50.984125057828138</v>
      </c>
      <c r="O11" s="93">
        <f t="shared" si="4"/>
        <v>1.4612098209495144E-2</v>
      </c>
      <c r="P11" s="79">
        <f>(O11*H11)*'Assumed Values'!$C$5</f>
        <v>27.83604708908825</v>
      </c>
      <c r="Q11" s="80">
        <f t="shared" si="0"/>
        <v>18.548333519604224</v>
      </c>
    </row>
    <row r="12" spans="2:19" x14ac:dyDescent="0.25">
      <c r="B12" s="69" t="s">
        <v>106</v>
      </c>
      <c r="C12" s="61">
        <f>(C11*'Inputs &amp; Outputs'!$B$21*2)</f>
        <v>3211.5107913669067</v>
      </c>
      <c r="F12" s="74">
        <f t="shared" si="1"/>
        <v>2025</v>
      </c>
      <c r="G12" s="71">
        <f t="shared" si="5"/>
        <v>2.1647428222889786E-2</v>
      </c>
      <c r="H12" s="73">
        <f>IF(AND(F12&gt;=Year_Open_to_Traffic?,F12&lt;Year_Open_to_Traffic?+'Assumed Values'!C$9),1,0)</f>
        <v>1</v>
      </c>
      <c r="I12" s="77">
        <f>IF(F12=Year_Open_to_Traffic?,Calculations!$C$12,(I11+I11*G12))</f>
        <v>3424.6210669709671</v>
      </c>
      <c r="J12" s="77">
        <f>I12*'Assumed Values'!$C$8</f>
        <v>230.1095479031768</v>
      </c>
      <c r="K12" s="93">
        <f t="shared" si="2"/>
        <v>6.5949666721223002E-2</v>
      </c>
      <c r="L12" s="79">
        <f>(K12*H12)*'Assumed Values'!$C$6</f>
        <v>495.15009774294231</v>
      </c>
      <c r="M12" s="80">
        <f t="shared" si="3"/>
        <v>308.35459556354738</v>
      </c>
      <c r="N12" s="77">
        <f>I12*'Assumed Values'!$C$7</f>
        <v>52.087800245524313</v>
      </c>
      <c r="O12" s="93">
        <f t="shared" si="4"/>
        <v>1.4928412556671006E-2</v>
      </c>
      <c r="P12" s="79">
        <f>(O12*H12)*'Assumed Values'!$C$5</f>
        <v>28.438625920458268</v>
      </c>
      <c r="Q12" s="80">
        <f t="shared" si="0"/>
        <v>17.710146951517828</v>
      </c>
    </row>
    <row r="13" spans="2:19" x14ac:dyDescent="0.25">
      <c r="B13" s="83"/>
      <c r="C13" s="60"/>
      <c r="F13" s="12">
        <f t="shared" si="1"/>
        <v>2026</v>
      </c>
      <c r="G13" s="75">
        <f>$C$6</f>
        <v>1.3358654263631475E-2</v>
      </c>
      <c r="H13" s="73">
        <f>IF(AND(F13&gt;=Year_Open_to_Traffic?,F13&lt;Year_Open_to_Traffic?+'Assumed Values'!C$9),1,0)</f>
        <v>1</v>
      </c>
      <c r="I13" s="77">
        <f>IF(F13=Year_Open_to_Traffic?,Calculations!$C$12,(I12+I12*G13))</f>
        <v>3470.3693957885812</v>
      </c>
      <c r="J13" s="77">
        <f>I13*'Assumed Values'!$C$8</f>
        <v>233.18350179637591</v>
      </c>
      <c r="K13" s="93">
        <f t="shared" si="2"/>
        <v>6.6830665517753546E-2</v>
      </c>
      <c r="L13" s="79">
        <f>(K13*H13)*'Assumed Values'!$C$6</f>
        <v>501.76463670729362</v>
      </c>
      <c r="M13" s="80">
        <f t="shared" si="3"/>
        <v>292.03158691241379</v>
      </c>
      <c r="N13" s="77">
        <f>I13*'Assumed Values'!$C$7</f>
        <v>52.783623160357372</v>
      </c>
      <c r="O13" s="93">
        <f t="shared" si="4"/>
        <v>1.512783605872043E-2</v>
      </c>
      <c r="P13" s="79">
        <f>(O13*H13)*'Assumed Values'!$C$5</f>
        <v>28.818527691862418</v>
      </c>
      <c r="Q13" s="80">
        <f t="shared" si="0"/>
        <v>16.772645496823611</v>
      </c>
    </row>
    <row r="14" spans="2:19" x14ac:dyDescent="0.25">
      <c r="F14" s="74">
        <f t="shared" si="1"/>
        <v>2027</v>
      </c>
      <c r="G14" s="75">
        <f t="shared" ref="G14:G37" si="6">$C$6</f>
        <v>1.3358654263631475E-2</v>
      </c>
      <c r="H14" s="73">
        <f>IF(AND(F14&gt;=Year_Open_to_Traffic?,F14&lt;Year_Open_to_Traffic?+'Assumed Values'!C$9),1,0)</f>
        <v>1</v>
      </c>
      <c r="I14" s="77">
        <f>IF(F14=Year_Open_to_Traffic?,Calculations!$C$12,(I13+I13*G14))</f>
        <v>3516.7288607140085</v>
      </c>
      <c r="J14" s="77">
        <f>I14*'Assumed Values'!$C$8</f>
        <v>236.29851957685659</v>
      </c>
      <c r="K14" s="93">
        <f t="shared" si="2"/>
        <v>6.7723433272613626E-2</v>
      </c>
      <c r="L14" s="79">
        <f>(K14*H14)*'Assumed Values'!$C$6</f>
        <v>508.46753701078308</v>
      </c>
      <c r="M14" s="80">
        <f t="shared" si="3"/>
        <v>276.57265038881906</v>
      </c>
      <c r="N14" s="77">
        <f>I14*'Assumed Values'!$C$7</f>
        <v>53.488741332938396</v>
      </c>
      <c r="O14" s="93">
        <f t="shared" si="4"/>
        <v>1.5329923590385772E-2</v>
      </c>
      <c r="P14" s="79">
        <f>(O14*H14)*'Assumed Values'!$C$5</f>
        <v>29.203504439684895</v>
      </c>
      <c r="Q14" s="80">
        <f t="shared" si="0"/>
        <v>15.884771466450587</v>
      </c>
    </row>
    <row r="15" spans="2:19" x14ac:dyDescent="0.25">
      <c r="F15" s="12">
        <f t="shared" si="1"/>
        <v>2028</v>
      </c>
      <c r="G15" s="75">
        <f t="shared" si="6"/>
        <v>1.3358654263631475E-2</v>
      </c>
      <c r="H15" s="73">
        <f>IF(AND(F15&gt;=Year_Open_to_Traffic?,F15&lt;Year_Open_to_Traffic?+'Assumed Values'!C$9),1,0)</f>
        <v>1</v>
      </c>
      <c r="I15" s="77">
        <f>IF(F15=Year_Open_to_Traffic?,Calculations!$C$12,(I14+I14*G15))</f>
        <v>3563.7076257032218</v>
      </c>
      <c r="J15" s="77">
        <f>I15*'Assumed Values'!$C$8</f>
        <v>239.45514980289178</v>
      </c>
      <c r="K15" s="93">
        <f t="shared" si="2"/>
        <v>6.8628127203248582E-2</v>
      </c>
      <c r="L15" s="79">
        <f>(K15*H15)*'Assumed Values'!$C$6</f>
        <v>515.25997904199039</v>
      </c>
      <c r="M15" s="80">
        <f t="shared" si="3"/>
        <v>261.93204561134536</v>
      </c>
      <c r="N15" s="77">
        <f>I15*'Assumed Values'!$C$7</f>
        <v>54.20327893540194</v>
      </c>
      <c r="O15" s="93">
        <f t="shared" si="4"/>
        <v>1.5534710739517626E-2</v>
      </c>
      <c r="P15" s="79">
        <f>(O15*H15)*'Assumed Values'!$C$5</f>
        <v>29.593623958781077</v>
      </c>
      <c r="Q15" s="80">
        <f t="shared" si="0"/>
        <v>15.043897791147385</v>
      </c>
    </row>
    <row r="16" spans="2:19" x14ac:dyDescent="0.25">
      <c r="B16" s="68" t="s">
        <v>114</v>
      </c>
      <c r="C16" s="76">
        <f>$C$12*'Assumed Values'!C$8</f>
        <v>215.7900923448</v>
      </c>
      <c r="F16" s="74">
        <f t="shared" si="1"/>
        <v>2029</v>
      </c>
      <c r="G16" s="75">
        <f t="shared" si="6"/>
        <v>1.3358654263631475E-2</v>
      </c>
      <c r="H16" s="73">
        <f>IF(AND(F16&gt;=Year_Open_to_Traffic?,F16&lt;Year_Open_to_Traffic?+'Assumed Values'!C$9),1,0)</f>
        <v>1</v>
      </c>
      <c r="I16" s="77">
        <f>IF(F16=Year_Open_to_Traffic?,Calculations!$C$12,(I15+I15*G16))</f>
        <v>3611.3139637716581</v>
      </c>
      <c r="J16" s="77">
        <f>I16*'Assumed Values'!$C$8</f>
        <v>242.6539483607547</v>
      </c>
      <c r="K16" s="93">
        <f t="shared" si="2"/>
        <v>6.9544906627317299E-2</v>
      </c>
      <c r="L16" s="79">
        <f>(K16*H16)*'Assumed Values'!$C$6</f>
        <v>522.14315895789832</v>
      </c>
      <c r="M16" s="80">
        <f t="shared" si="3"/>
        <v>248.0664535039561</v>
      </c>
      <c r="N16" s="77">
        <f>I16*'Assumed Values'!$C$7</f>
        <v>54.927361798655156</v>
      </c>
      <c r="O16" s="93">
        <f t="shared" si="4"/>
        <v>1.5742233569372367E-2</v>
      </c>
      <c r="P16" s="79">
        <f>(O16*H16)*'Assumed Values'!$C$5</f>
        <v>29.988954949654357</v>
      </c>
      <c r="Q16" s="80">
        <f t="shared" si="0"/>
        <v>14.247536467772646</v>
      </c>
    </row>
    <row r="17" spans="2:17" x14ac:dyDescent="0.25">
      <c r="F17" s="12">
        <f t="shared" si="1"/>
        <v>2030</v>
      </c>
      <c r="G17" s="75">
        <f t="shared" si="6"/>
        <v>1.3358654263631475E-2</v>
      </c>
      <c r="H17" s="73">
        <f>IF(AND(F17&gt;=Year_Open_to_Traffic?,F17&lt;Year_Open_to_Traffic?+'Assumed Values'!C$9),1,0)</f>
        <v>1</v>
      </c>
      <c r="I17" s="77">
        <f>IF(F17=Year_Open_to_Traffic?,Calculations!$C$12,(I16+I16*G17))</f>
        <v>3659.5562584511081</v>
      </c>
      <c r="J17" s="77">
        <f>I17*'Assumed Values'!$C$8</f>
        <v>245.89547856261109</v>
      </c>
      <c r="K17" s="93">
        <f t="shared" si="2"/>
        <v>7.0473932990748167E-2</v>
      </c>
      <c r="L17" s="79">
        <f>(K17*H17)*'Assumed Values'!$C$6</f>
        <v>529.11828889453727</v>
      </c>
      <c r="M17" s="80">
        <f t="shared" si="3"/>
        <v>234.93484812216889</v>
      </c>
      <c r="N17" s="77">
        <f>I17*'Assumed Values'!$C$7</f>
        <v>55.661117434536784</v>
      </c>
      <c r="O17" s="93">
        <f t="shared" si="4"/>
        <v>1.5952528624962943E-2</v>
      </c>
      <c r="P17" s="79">
        <f>(O17*H17)*'Assumed Values'!$C$5</f>
        <v>30.389567030554407</v>
      </c>
      <c r="Q17" s="80">
        <f t="shared" si="0"/>
        <v>13.493331197714117</v>
      </c>
    </row>
    <row r="18" spans="2:17" x14ac:dyDescent="0.25">
      <c r="B18" s="68" t="s">
        <v>115</v>
      </c>
      <c r="C18" s="76">
        <f>$C$12*'Assumed Values'!C$7</f>
        <v>48.846435653981011</v>
      </c>
      <c r="F18" s="74">
        <f t="shared" si="1"/>
        <v>2031</v>
      </c>
      <c r="G18" s="75">
        <f t="shared" si="6"/>
        <v>1.3358654263631475E-2</v>
      </c>
      <c r="H18" s="73">
        <f>IF(AND(F18&gt;=Year_Open_to_Traffic?,F18&lt;Year_Open_to_Traffic?+'Assumed Values'!C$9),1,0)</f>
        <v>1</v>
      </c>
      <c r="I18" s="77">
        <f>IF(F18=Year_Open_to_Traffic?,Calculations!$C$12,(I17+I17*G18))</f>
        <v>3708.443005266065</v>
      </c>
      <c r="J18" s="77">
        <f>I18*'Assumed Values'!$C$8</f>
        <v>249.1803112457192</v>
      </c>
      <c r="K18" s="93">
        <f t="shared" si="2"/>
        <v>7.1415369896169895E-2</v>
      </c>
      <c r="L18" s="79">
        <f>(K18*H18)*'Assumed Values'!$C$6</f>
        <v>536.18659718044353</v>
      </c>
      <c r="M18" s="80">
        <f t="shared" si="3"/>
        <v>222.49837526421646</v>
      </c>
      <c r="N18" s="77">
        <f>I18*'Assumed Values'!$C$7</f>
        <v>56.404675058272147</v>
      </c>
      <c r="O18" s="93">
        <f t="shared" si="4"/>
        <v>1.6165632939494506E-2</v>
      </c>
      <c r="P18" s="79">
        <f>(O18*H18)*'Assumed Values'!$C$5</f>
        <v>30.795530749737033</v>
      </c>
      <c r="Q18" s="80">
        <f t="shared" si="0"/>
        <v>12.77905041499911</v>
      </c>
    </row>
    <row r="19" spans="2:17" x14ac:dyDescent="0.25">
      <c r="F19" s="12">
        <f t="shared" si="1"/>
        <v>2032</v>
      </c>
      <c r="G19" s="75">
        <f t="shared" si="6"/>
        <v>1.3358654263631475E-2</v>
      </c>
      <c r="H19" s="73">
        <f>IF(AND(F19&gt;=Year_Open_to_Traffic?,F19&lt;Year_Open_to_Traffic?+'Assumed Values'!C$9),1,0)</f>
        <v>1</v>
      </c>
      <c r="I19" s="77">
        <f>IF(F19=Year_Open_to_Traffic?,Calculations!$C$12,(I18+I18*G19))</f>
        <v>3757.9828132297966</v>
      </c>
      <c r="J19" s="77">
        <f>I19*'Assumed Values'!$C$8</f>
        <v>252.50902487295483</v>
      </c>
      <c r="K19" s="93">
        <f t="shared" si="2"/>
        <v>7.236938313172217E-2</v>
      </c>
      <c r="L19" s="79">
        <f>(K19*H19)*'Assumed Values'!$C$6</f>
        <v>543.34932855297006</v>
      </c>
      <c r="M19" s="80">
        <f t="shared" si="3"/>
        <v>210.72023750802884</v>
      </c>
      <c r="N19" s="77">
        <f>I19*'Assumed Values'!$C$7</f>
        <v>57.158165611228078</v>
      </c>
      <c r="O19" s="93">
        <f t="shared" si="4"/>
        <v>1.6381584040885987E-2</v>
      </c>
      <c r="P19" s="79">
        <f>(O19*H19)*'Assumed Values'!$C$5</f>
        <v>31.206917597887806</v>
      </c>
      <c r="Q19" s="80">
        <f t="shared" si="0"/>
        <v>12.102580683467853</v>
      </c>
    </row>
    <row r="20" spans="2:17" x14ac:dyDescent="0.25">
      <c r="F20" s="74">
        <f t="shared" si="1"/>
        <v>2033</v>
      </c>
      <c r="G20" s="75">
        <f t="shared" si="6"/>
        <v>1.3358654263631475E-2</v>
      </c>
      <c r="H20" s="73">
        <f>IF(AND(F20&gt;=Year_Open_to_Traffic?,F20&lt;Year_Open_to_Traffic?+'Assumed Values'!C$9),1,0)</f>
        <v>1</v>
      </c>
      <c r="I20" s="77">
        <f>IF(F20=Year_Open_to_Traffic?,Calculations!$C$12,(I19+I19*G20))</f>
        <v>3808.1844063604026</v>
      </c>
      <c r="J20" s="77">
        <f>I20*'Assumed Values'!$C$8</f>
        <v>255.88220563467934</v>
      </c>
      <c r="K20" s="93">
        <f t="shared" si="2"/>
        <v>7.3336140700251143E-2</v>
      </c>
      <c r="L20" s="79">
        <f>(K20*H20)*'Assumed Values'!$C$6</f>
        <v>550.60774437748557</v>
      </c>
      <c r="M20" s="80">
        <f t="shared" si="3"/>
        <v>199.56558533387749</v>
      </c>
      <c r="N20" s="77">
        <f>I20*'Assumed Values'!$C$7</f>
        <v>57.921721783971861</v>
      </c>
      <c r="O20" s="93">
        <f t="shared" si="4"/>
        <v>1.6600419958378805E-2</v>
      </c>
      <c r="P20" s="79">
        <f>(O20*H20)*'Assumed Values'!$C$5</f>
        <v>31.623800020711624</v>
      </c>
      <c r="Q20" s="80">
        <f t="shared" si="0"/>
        <v>11.461920443472899</v>
      </c>
    </row>
    <row r="21" spans="2:17" x14ac:dyDescent="0.25">
      <c r="F21" s="12">
        <f t="shared" si="1"/>
        <v>2034</v>
      </c>
      <c r="G21" s="75">
        <f t="shared" si="6"/>
        <v>1.3358654263631475E-2</v>
      </c>
      <c r="H21" s="73">
        <f>IF(AND(F21&gt;=Year_Open_to_Traffic?,F21&lt;Year_Open_to_Traffic?+'Assumed Values'!C$9),1,0)</f>
        <v>0</v>
      </c>
      <c r="I21" s="77">
        <f>IF(F21=Year_Open_to_Traffic?,Calculations!$C$12,(I20+I20*G21))</f>
        <v>3859.0566252171238</v>
      </c>
      <c r="J21" s="77">
        <f>I21*'Assumed Values'!$C$8</f>
        <v>259.30044755196849</v>
      </c>
      <c r="K21" s="93">
        <f t="shared" si="2"/>
        <v>7.4315812848894838E-2</v>
      </c>
      <c r="L21" s="79">
        <f>(K21*H21)*'Assumed Values'!$C$6</f>
        <v>0</v>
      </c>
      <c r="M21" s="80">
        <f t="shared" si="3"/>
        <v>0</v>
      </c>
      <c r="N21" s="77">
        <f>I21*'Assumed Values'!$C$7</f>
        <v>58.695478039638196</v>
      </c>
      <c r="O21" s="93">
        <f t="shared" si="4"/>
        <v>1.6822179229233875E-2</v>
      </c>
      <c r="P21" s="79">
        <f>(O21*H21)*'Assumed Values'!$C$5</f>
        <v>0</v>
      </c>
      <c r="Q21" s="80">
        <f t="shared" si="0"/>
        <v>0</v>
      </c>
    </row>
    <row r="22" spans="2:17" x14ac:dyDescent="0.25">
      <c r="F22" s="74">
        <f t="shared" si="1"/>
        <v>2035</v>
      </c>
      <c r="G22" s="75">
        <f t="shared" si="6"/>
        <v>1.3358654263631475E-2</v>
      </c>
      <c r="H22" s="73">
        <f>IF(AND(F22&gt;=Year_Open_to_Traffic?,F22&lt;Year_Open_to_Traffic?+'Assumed Values'!C$9),1,0)</f>
        <v>0</v>
      </c>
      <c r="I22" s="77">
        <f>IF(F22=Year_Open_to_Traffic?,Calculations!$C$12,(I21+I21*G22))</f>
        <v>3910.6084284571757</v>
      </c>
      <c r="J22" s="77">
        <f>I22*'Assumed Values'!$C$8</f>
        <v>262.76435258122012</v>
      </c>
      <c r="K22" s="93">
        <f t="shared" si="2"/>
        <v>7.5308572099063942E-2</v>
      </c>
      <c r="L22" s="79">
        <f>(K22*H22)*'Assumed Values'!$C$6</f>
        <v>0</v>
      </c>
      <c r="M22" s="80">
        <f t="shared" si="3"/>
        <v>0</v>
      </c>
      <c r="N22" s="77">
        <f>I22*'Assumed Values'!$C$7</f>
        <v>59.47957063760829</v>
      </c>
      <c r="O22" s="93">
        <f t="shared" si="4"/>
        <v>1.704690090551805E-2</v>
      </c>
      <c r="P22" s="79">
        <f>(O22*H22)*'Assumed Values'!$C$5</f>
        <v>0</v>
      </c>
      <c r="Q22" s="80">
        <f t="shared" si="0"/>
        <v>0</v>
      </c>
    </row>
    <row r="23" spans="2:17" x14ac:dyDescent="0.25">
      <c r="F23" s="12">
        <f t="shared" si="1"/>
        <v>2036</v>
      </c>
      <c r="G23" s="75">
        <f t="shared" si="6"/>
        <v>1.3358654263631475E-2</v>
      </c>
      <c r="H23" s="73">
        <f>IF(AND(F23&gt;=Year_Open_to_Traffic?,F23&lt;Year_Open_to_Traffic?+'Assumed Values'!C$9),1,0)</f>
        <v>0</v>
      </c>
      <c r="I23" s="77">
        <f>IF(F23=Year_Open_to_Traffic?,Calculations!$C$12,(I22+I22*G23))</f>
        <v>3962.8488944133783</v>
      </c>
      <c r="J23" s="77">
        <f>I23*'Assumed Values'!$C$8</f>
        <v>266.27453072015959</v>
      </c>
      <c r="K23" s="93">
        <f t="shared" si="2"/>
        <v>7.6314593276823106E-2</v>
      </c>
      <c r="L23" s="79">
        <f>(K23*H23)*'Assumed Values'!$C$6</f>
        <v>0</v>
      </c>
      <c r="M23" s="80">
        <f t="shared" si="3"/>
        <v>0</v>
      </c>
      <c r="N23" s="77">
        <f>I23*'Assumed Values'!$C$7</f>
        <v>60.274137657505349</v>
      </c>
      <c r="O23" s="93">
        <f t="shared" si="4"/>
        <v>1.7274624560981253E-2</v>
      </c>
      <c r="P23" s="79">
        <f>(O23*H23)*'Assumed Values'!$C$5</f>
        <v>0</v>
      </c>
      <c r="Q23" s="80">
        <f t="shared" si="0"/>
        <v>0</v>
      </c>
    </row>
    <row r="24" spans="2:17" x14ac:dyDescent="0.25">
      <c r="F24" s="74">
        <f t="shared" si="1"/>
        <v>2037</v>
      </c>
      <c r="G24" s="75">
        <f t="shared" si="6"/>
        <v>1.3358654263631475E-2</v>
      </c>
      <c r="H24" s="73">
        <f>IF(AND(F24&gt;=Year_Open_to_Traffic?,F24&lt;Year_Open_to_Traffic?+'Assumed Values'!C$9),1,0)</f>
        <v>0</v>
      </c>
      <c r="I24" s="77">
        <f>IF(F24=Year_Open_to_Traffic?,Calculations!$C$12,(I23+I23*G24))</f>
        <v>4015.7872226928607</v>
      </c>
      <c r="J24" s="77">
        <f>I24*'Assumed Values'!$C$8</f>
        <v>269.83160011526093</v>
      </c>
      <c r="K24" s="93">
        <f t="shared" si="2"/>
        <v>7.7334053543677839E-2</v>
      </c>
      <c r="L24" s="79">
        <f>(K24*H24)*'Assumed Values'!$C$6</f>
        <v>0</v>
      </c>
      <c r="M24" s="80">
        <f t="shared" si="3"/>
        <v>0</v>
      </c>
      <c r="N24" s="77">
        <f>I24*'Assumed Values'!$C$7</f>
        <v>61.079319023510493</v>
      </c>
      <c r="O24" s="93">
        <f t="shared" si="4"/>
        <v>1.750539029802544E-2</v>
      </c>
      <c r="P24" s="79">
        <f>(O24*H24)*'Assumed Values'!$C$5</f>
        <v>0</v>
      </c>
      <c r="Q24" s="80">
        <f t="shared" si="0"/>
        <v>0</v>
      </c>
    </row>
    <row r="25" spans="2:17" x14ac:dyDescent="0.25">
      <c r="F25" s="12">
        <f t="shared" si="1"/>
        <v>2038</v>
      </c>
      <c r="G25" s="75">
        <f t="shared" si="6"/>
        <v>1.3358654263631475E-2</v>
      </c>
      <c r="H25" s="73">
        <f>IF(AND(F25&gt;=Year_Open_to_Traffic?,F25&lt;Year_Open_to_Traffic?+'Assumed Values'!C$9),1,0)</f>
        <v>0</v>
      </c>
      <c r="I25" s="77">
        <f>IF(F25=Year_Open_to_Traffic?,Calculations!$C$12,(I24+I24*G25))</f>
        <v>4069.4327357971233</v>
      </c>
      <c r="J25" s="77">
        <f>I25*'Assumed Values'!$C$8</f>
        <v>273.43618717060315</v>
      </c>
      <c r="K25" s="93">
        <f t="shared" si="2"/>
        <v>7.836713242777299E-2</v>
      </c>
      <c r="L25" s="79">
        <f>(K25*H25)*'Assumed Values'!$C$6</f>
        <v>0</v>
      </c>
      <c r="M25" s="80">
        <f t="shared" si="3"/>
        <v>0</v>
      </c>
      <c r="N25" s="77">
        <f>I25*'Assumed Values'!$C$7</f>
        <v>61.895256529003611</v>
      </c>
      <c r="O25" s="93">
        <f t="shared" si="4"/>
        <v>1.7739238754766688E-2</v>
      </c>
      <c r="P25" s="79">
        <f>(O25*H25)*'Assumed Values'!$C$5</f>
        <v>0</v>
      </c>
      <c r="Q25" s="80">
        <f t="shared" si="0"/>
        <v>0</v>
      </c>
    </row>
    <row r="26" spans="2:17" x14ac:dyDescent="0.25">
      <c r="F26" s="74">
        <f t="shared" si="1"/>
        <v>2039</v>
      </c>
      <c r="G26" s="75">
        <f t="shared" si="6"/>
        <v>1.3358654263631475E-2</v>
      </c>
      <c r="H26" s="73">
        <f>IF(AND(F26&gt;=Year_Open_to_Traffic?,F26&lt;Year_Open_to_Traffic?+'Assumed Values'!C$9),1,0)</f>
        <v>0</v>
      </c>
      <c r="I26" s="77">
        <f>IF(F26=Year_Open_to_Traffic?,Calculations!$C$12,(I25+I25*G26))</f>
        <v>4123.7948807637413</v>
      </c>
      <c r="J26" s="77">
        <f>I26*'Assumed Values'!$C$8</f>
        <v>277.08892665818087</v>
      </c>
      <c r="K26" s="93">
        <f t="shared" si="2"/>
        <v>7.9414011855507838E-2</v>
      </c>
      <c r="L26" s="79">
        <f>(K26*H26)*'Assumed Values'!$C$6</f>
        <v>0</v>
      </c>
      <c r="M26" s="80">
        <f t="shared" si="3"/>
        <v>0</v>
      </c>
      <c r="N26" s="77">
        <f>I26*'Assumed Values'!$C$7</f>
        <v>62.722093861533352</v>
      </c>
      <c r="O26" s="93">
        <f t="shared" si="4"/>
        <v>1.797621111219163E-2</v>
      </c>
      <c r="P26" s="79">
        <f>(O26*H26)*'Assumed Values'!$C$5</f>
        <v>0</v>
      </c>
      <c r="Q26" s="80">
        <f t="shared" si="0"/>
        <v>0</v>
      </c>
    </row>
    <row r="27" spans="2:17" x14ac:dyDescent="0.25">
      <c r="F27" s="12">
        <f t="shared" si="1"/>
        <v>2040</v>
      </c>
      <c r="G27" s="75">
        <f t="shared" si="6"/>
        <v>1.3358654263631475E-2</v>
      </c>
      <c r="H27" s="73">
        <f>IF(AND(F27&gt;=Year_Open_to_Traffic?,F27&lt;Year_Open_to_Traffic?+'Assumed Values'!C$9),1,0)</f>
        <v>0</v>
      </c>
      <c r="I27" s="77">
        <f>IF(F27=Year_Open_to_Traffic?,Calculations!$C$12,(I26+I26*G27))</f>
        <v>4178.883230829997</v>
      </c>
      <c r="J27" s="77">
        <f>I27*'Assumed Values'!$C$8</f>
        <v>280.79046182968824</v>
      </c>
      <c r="K27" s="93">
        <f t="shared" si="2"/>
        <v>8.0474876183573504E-2</v>
      </c>
      <c r="L27" s="79">
        <f>(K27*H27)*'Assumed Values'!$C$6</f>
        <v>0</v>
      </c>
      <c r="M27" s="80">
        <f t="shared" si="3"/>
        <v>0</v>
      </c>
      <c r="N27" s="77">
        <f>I27*'Assumed Values'!$C$7</f>
        <v>63.559976628120616</v>
      </c>
      <c r="O27" s="93">
        <f t="shared" si="4"/>
        <v>1.8216349101409447E-2</v>
      </c>
      <c r="P27" s="79">
        <f>(O27*H27)*'Assumed Values'!$C$5</f>
        <v>0</v>
      </c>
      <c r="Q27" s="80">
        <f t="shared" si="0"/>
        <v>0</v>
      </c>
    </row>
    <row r="28" spans="2:17" x14ac:dyDescent="0.25">
      <c r="F28" s="74">
        <f t="shared" si="1"/>
        <v>2041</v>
      </c>
      <c r="G28" s="75">
        <f t="shared" si="6"/>
        <v>1.3358654263631475E-2</v>
      </c>
      <c r="H28" s="73">
        <f>IF(AND(F28&gt;=Year_Open_to_Traffic?,F28&lt;Year_Open_to_Traffic?+'Assumed Values'!C$9),1,0)</f>
        <v>0</v>
      </c>
      <c r="I28" s="77">
        <f>IF(F28=Year_Open_to_Traffic?,Calculations!$C$12,(I27+I27*G28))</f>
        <v>4234.7074871187424</v>
      </c>
      <c r="J28" s="77">
        <f>I28*'Assumed Values'!$C$8</f>
        <v>284.54144452979642</v>
      </c>
      <c r="K28" s="93">
        <f t="shared" si="2"/>
        <v>8.1549912231418401E-2</v>
      </c>
      <c r="L28" s="79">
        <f>(K28*H28)*'Assumed Values'!$C$6</f>
        <v>0</v>
      </c>
      <c r="M28" s="80">
        <f t="shared" si="3"/>
        <v>0</v>
      </c>
      <c r="N28" s="77">
        <f>I28*'Assumed Values'!$C$7</f>
        <v>64.409052380900178</v>
      </c>
      <c r="O28" s="93">
        <f t="shared" si="4"/>
        <v>1.8459695011000789E-2</v>
      </c>
      <c r="P28" s="79">
        <f>(O28*H28)*'Assumed Values'!$C$5</f>
        <v>0</v>
      </c>
      <c r="Q28" s="80">
        <f t="shared" si="0"/>
        <v>0</v>
      </c>
    </row>
    <row r="29" spans="2:17" x14ac:dyDescent="0.25">
      <c r="F29" s="12">
        <f t="shared" si="1"/>
        <v>2042</v>
      </c>
      <c r="G29" s="75">
        <f t="shared" si="6"/>
        <v>1.3358654263631475E-2</v>
      </c>
      <c r="H29" s="73">
        <f>IF(AND(F29&gt;=Year_Open_to_Traffic?,F29&lt;Year_Open_to_Traffic?+'Assumed Values'!C$9),1,0)</f>
        <v>0</v>
      </c>
      <c r="I29" s="77">
        <f>IF(F29=Year_Open_to_Traffic?,Calculations!$C$12,(I28+I28*G29))</f>
        <v>4291.2774803467737</v>
      </c>
      <c r="J29" s="77">
        <f>I29*'Assumed Values'!$C$8</f>
        <v>288.3425353109443</v>
      </c>
      <c r="K29" s="93">
        <f t="shared" si="2"/>
        <v>8.2639309314147424E-2</v>
      </c>
      <c r="L29" s="79">
        <f>(K29*H29)*'Assumed Values'!$C$6</f>
        <v>0</v>
      </c>
      <c r="M29" s="80">
        <f t="shared" si="3"/>
        <v>0</v>
      </c>
      <c r="N29" s="77">
        <f>I29*'Assumed Values'!$C$7</f>
        <v>65.269470643104754</v>
      </c>
      <c r="O29" s="93">
        <f t="shared" si="4"/>
        <v>1.8706291694464833E-2</v>
      </c>
      <c r="P29" s="79">
        <f>(O29*H29)*'Assumed Values'!$C$5</f>
        <v>0</v>
      </c>
      <c r="Q29" s="80">
        <f t="shared" si="0"/>
        <v>0</v>
      </c>
    </row>
    <row r="30" spans="2:17" x14ac:dyDescent="0.25">
      <c r="F30" s="74">
        <f t="shared" si="1"/>
        <v>2043</v>
      </c>
      <c r="G30" s="75">
        <f t="shared" si="6"/>
        <v>1.3358654263631475E-2</v>
      </c>
      <c r="H30" s="73">
        <f>IF(AND(F30&gt;=Year_Open_to_Traffic?,F30&lt;Year_Open_to_Traffic?+'Assumed Values'!C$9),1,0)</f>
        <v>0</v>
      </c>
      <c r="I30" s="77">
        <f>IF(F30=Year_Open_to_Traffic?,Calculations!$C$12,(I29+I29*G30))</f>
        <v>4348.6031725560342</v>
      </c>
      <c r="J30" s="77">
        <f>I30*'Assumed Values'!$C$8</f>
        <v>292.19440354966218</v>
      </c>
      <c r="K30" s="93">
        <f t="shared" si="2"/>
        <v>8.3743259275860432E-2</v>
      </c>
      <c r="L30" s="79">
        <f>(K30*H30)*'Assumed Values'!$C$6</f>
        <v>0</v>
      </c>
      <c r="M30" s="80">
        <f t="shared" si="3"/>
        <v>0</v>
      </c>
      <c r="N30" s="77">
        <f>I30*'Assumed Values'!$C$7</f>
        <v>66.141382935396237</v>
      </c>
      <c r="O30" s="93">
        <f t="shared" si="4"/>
        <v>1.895618257776583E-2</v>
      </c>
      <c r="P30" s="79">
        <f>(O30*H30)*'Assumed Values'!$C$5</f>
        <v>0</v>
      </c>
      <c r="Q30" s="80">
        <f t="shared" si="0"/>
        <v>0</v>
      </c>
    </row>
    <row r="31" spans="2:17" x14ac:dyDescent="0.25">
      <c r="F31" s="74">
        <f t="shared" si="1"/>
        <v>2044</v>
      </c>
      <c r="G31" s="75">
        <f t="shared" si="6"/>
        <v>1.3358654263631475E-2</v>
      </c>
      <c r="H31" s="73">
        <f>IF(AND(F31&gt;=Year_Open_to_Traffic?,F31&lt;Year_Open_to_Traffic?+'Assumed Values'!C$9),1,0)</f>
        <v>0</v>
      </c>
      <c r="I31" s="77">
        <f>IF(F31=Year_Open_to_Traffic?,Calculations!$C$12,(I30+I30*G31))</f>
        <v>4406.6946588679411</v>
      </c>
      <c r="J31" s="77">
        <f>I31*'Assumed Values'!$C$8</f>
        <v>296.09772756445011</v>
      </c>
      <c r="K31" s="93">
        <f t="shared" si="2"/>
        <v>8.4861956523436297E-2</v>
      </c>
      <c r="L31" s="79">
        <f>(K31*H31)*'Assumed Values'!$C$6</f>
        <v>0</v>
      </c>
      <c r="M31" s="80">
        <f t="shared" si="3"/>
        <v>0</v>
      </c>
      <c r="N31" s="77">
        <f>I31*'Assumed Values'!$C$7</f>
        <v>67.024942802548651</v>
      </c>
      <c r="O31" s="93">
        <f t="shared" si="4"/>
        <v>1.9209411666980477E-2</v>
      </c>
      <c r="P31" s="79">
        <f>(O31*H31)*'Assumed Values'!$C$5</f>
        <v>0</v>
      </c>
      <c r="Q31" s="80">
        <f t="shared" si="0"/>
        <v>0</v>
      </c>
    </row>
    <row r="32" spans="2:17" x14ac:dyDescent="0.25">
      <c r="F32" s="74">
        <f t="shared" si="1"/>
        <v>2045</v>
      </c>
      <c r="G32" s="75">
        <f t="shared" si="6"/>
        <v>1.3358654263631475E-2</v>
      </c>
      <c r="H32" s="73">
        <f>IF(AND(F32&gt;=Year_Open_to_Traffic?,F32&lt;Year_Open_to_Traffic?+'Assumed Values'!C$9),1,0)</f>
        <v>0</v>
      </c>
      <c r="I32" s="77">
        <f>IF(F32=Year_Open_to_Traffic?,Calculations!$C$12,(I31+I31*G32))</f>
        <v>4465.5621692611494</v>
      </c>
      <c r="J32" s="77">
        <f>I32*'Assumed Values'!$C$8</f>
        <v>300.05319473523053</v>
      </c>
      <c r="K32" s="93">
        <f t="shared" si="2"/>
        <v>8.5995598060768202E-2</v>
      </c>
      <c r="L32" s="79">
        <f>(K32*H32)*'Assumed Values'!$C$6</f>
        <v>0</v>
      </c>
      <c r="M32" s="80">
        <f t="shared" si="3"/>
        <v>0</v>
      </c>
      <c r="N32" s="77">
        <f>I32*'Assumed Values'!$C$7</f>
        <v>67.920305840487572</v>
      </c>
      <c r="O32" s="93">
        <f t="shared" si="4"/>
        <v>1.9466023556047436E-2</v>
      </c>
      <c r="P32" s="79">
        <f>(O32*H32)*'Assumed Values'!$C$5</f>
        <v>0</v>
      </c>
      <c r="Q32" s="80">
        <f t="shared" si="0"/>
        <v>0</v>
      </c>
    </row>
    <row r="33" spans="6:17" x14ac:dyDescent="0.25">
      <c r="F33" s="74">
        <f t="shared" si="1"/>
        <v>2046</v>
      </c>
      <c r="G33" s="75">
        <f t="shared" si="6"/>
        <v>1.3358654263631475E-2</v>
      </c>
      <c r="H33" s="73">
        <f>IF(AND(F33&gt;=Year_Open_to_Traffic?,F33&lt;Year_Open_to_Traffic?+'Assumed Values'!C$9),1,0)</f>
        <v>0</v>
      </c>
      <c r="I33" s="77">
        <f>IF(F33=Year_Open_to_Traffic?,Calculations!$C$12,(I32+I32*G33))</f>
        <v>4525.2160703730615</v>
      </c>
      <c r="J33" s="77">
        <f>I33*'Assumed Values'!$C$8</f>
        <v>304.06150162439661</v>
      </c>
      <c r="K33" s="93">
        <f t="shared" si="2"/>
        <v>8.7144383523456229E-2</v>
      </c>
      <c r="L33" s="79">
        <f>(K33*H33)*'Assumed Values'!$C$6</f>
        <v>0</v>
      </c>
      <c r="M33" s="80">
        <f t="shared" si="3"/>
        <v>0</v>
      </c>
      <c r="N33" s="77">
        <f>I33*'Assumed Values'!$C$7</f>
        <v>68.827629723690762</v>
      </c>
      <c r="O33" s="93">
        <f t="shared" si="4"/>
        <v>1.9726063434620383E-2</v>
      </c>
      <c r="P33" s="79">
        <f>(O33*H33)*'Assumed Values'!$C$5</f>
        <v>0</v>
      </c>
      <c r="Q33" s="80">
        <f t="shared" si="0"/>
        <v>0</v>
      </c>
    </row>
    <row r="34" spans="6:17" x14ac:dyDescent="0.25">
      <c r="F34" s="74">
        <f t="shared" si="1"/>
        <v>2047</v>
      </c>
      <c r="G34" s="75">
        <f t="shared" si="6"/>
        <v>1.3358654263631475E-2</v>
      </c>
      <c r="H34" s="73">
        <f>IF(AND(F34&gt;=Year_Open_to_Traffic?,F34&lt;Year_Open_to_Traffic?+'Assumed Values'!C$9),1,0)</f>
        <v>0</v>
      </c>
      <c r="I34" s="77">
        <f>IF(F34=Year_Open_to_Traffic?,Calculations!$C$12,(I33+I33*G34))</f>
        <v>4585.6668673254044</v>
      </c>
      <c r="J34" s="77">
        <f>I34*'Assumed Values'!$C$8</f>
        <v>308.12335409947752</v>
      </c>
      <c r="K34" s="93">
        <f t="shared" si="2"/>
        <v>8.8308515213963379E-2</v>
      </c>
      <c r="L34" s="79">
        <f>(K34*H34)*'Assumed Values'!$C$6</f>
        <v>0</v>
      </c>
      <c r="M34" s="80">
        <f t="shared" si="3"/>
        <v>0</v>
      </c>
      <c r="N34" s="77">
        <f>I34*'Assumed Values'!$C$7</f>
        <v>69.747074232954802</v>
      </c>
      <c r="O34" s="93">
        <f t="shared" si="4"/>
        <v>1.9989577096025942E-2</v>
      </c>
      <c r="P34" s="79">
        <f>(O34*H34)*'Assumed Values'!$C$5</f>
        <v>0</v>
      </c>
      <c r="Q34" s="80">
        <f t="shared" si="0"/>
        <v>0</v>
      </c>
    </row>
    <row r="35" spans="6:17" x14ac:dyDescent="0.25">
      <c r="F35" s="74">
        <f t="shared" si="1"/>
        <v>2048</v>
      </c>
      <c r="G35" s="75">
        <f t="shared" si="6"/>
        <v>1.3358654263631475E-2</v>
      </c>
      <c r="H35" s="73">
        <f>IF(AND(F35&gt;=Year_Open_to_Traffic?,F35&lt;Year_Open_to_Traffic?+'Assumed Values'!C$9),1,0)</f>
        <v>0</v>
      </c>
      <c r="I35" s="77">
        <f>IF(F35=Year_Open_to_Traffic?,Calculations!$C$12,(I34+I34*G35))</f>
        <v>4646.9252055741945</v>
      </c>
      <c r="J35" s="77">
        <f>I35*'Assumed Values'!$C$8</f>
        <v>312.23946745744297</v>
      </c>
      <c r="K35" s="93">
        <f t="shared" si="2"/>
        <v>8.9488198137241362E-2</v>
      </c>
      <c r="L35" s="79">
        <f>(K35*H35)*'Assumed Values'!$C$6</f>
        <v>0</v>
      </c>
      <c r="M35" s="80">
        <f t="shared" si="3"/>
        <v>0</v>
      </c>
      <c r="N35" s="77">
        <f>I35*'Assumed Values'!$C$7</f>
        <v>70.678801283532678</v>
      </c>
      <c r="O35" s="93">
        <f t="shared" si="4"/>
        <v>2.025661094532796E-2</v>
      </c>
      <c r="P35" s="79">
        <f>(O35*H35)*'Assumed Values'!$C$5</f>
        <v>0</v>
      </c>
      <c r="Q35" s="80">
        <f t="shared" si="0"/>
        <v>0</v>
      </c>
    </row>
    <row r="36" spans="6:17" x14ac:dyDescent="0.25">
      <c r="F36" s="74">
        <f t="shared" si="1"/>
        <v>2049</v>
      </c>
      <c r="G36" s="75">
        <f t="shared" si="6"/>
        <v>1.3358654263631475E-2</v>
      </c>
      <c r="H36" s="73">
        <f>IF(AND(F36&gt;=Year_Open_to_Traffic?,F36&lt;Year_Open_to_Traffic?+'Assumed Values'!C$9),1,0)</f>
        <v>0</v>
      </c>
      <c r="I36" s="77">
        <f>IF(F36=Year_Open_to_Traffic?,Calculations!$C$12,(I35+I35*G36))</f>
        <v>4709.0018727844144</v>
      </c>
      <c r="J36" s="77">
        <f>I36*'Assumed Values'!$C$8</f>
        <v>316.41056655066734</v>
      </c>
      <c r="K36" s="93">
        <f t="shared" si="2"/>
        <v>9.0683640036832117E-2</v>
      </c>
      <c r="L36" s="79">
        <f>(K36*H36)*'Assumed Values'!$C$6</f>
        <v>0</v>
      </c>
      <c r="M36" s="80">
        <f t="shared" si="3"/>
        <v>0</v>
      </c>
      <c r="N36" s="77">
        <f>I36*'Assumed Values'!$C$7</f>
        <v>71.622974953647301</v>
      </c>
      <c r="O36" s="93">
        <f t="shared" si="4"/>
        <v>2.0527212007499487E-2</v>
      </c>
      <c r="P36" s="79">
        <f>(O36*H36)*'Assumed Values'!$C$5</f>
        <v>0</v>
      </c>
      <c r="Q36" s="80">
        <f t="shared" si="0"/>
        <v>0</v>
      </c>
    </row>
    <row r="37" spans="6:17" x14ac:dyDescent="0.25">
      <c r="F37" s="74">
        <f t="shared" si="1"/>
        <v>2050</v>
      </c>
      <c r="G37" s="75">
        <f t="shared" si="6"/>
        <v>1.3358654263631475E-2</v>
      </c>
      <c r="H37" s="73">
        <f>IF(AND(F37&gt;=Year_Open_to_Traffic?,F37&lt;Year_Open_to_Traffic?+'Assumed Values'!C$9),1,0)</f>
        <v>0</v>
      </c>
      <c r="I37" s="77">
        <f>IF(F37=Year_Open_to_Traffic?,Calculations!$C$12,(I36+I36*G37))</f>
        <v>4771.9078007297348</v>
      </c>
      <c r="J37" s="77">
        <f>I37*'Assumed Values'!$C$8</f>
        <v>320.63738591457746</v>
      </c>
      <c r="K37" s="93">
        <f t="shared" si="2"/>
        <v>9.1895051431451769E-2</v>
      </c>
      <c r="L37" s="79">
        <f>(K37*H37)*'Assumed Values'!$C$6</f>
        <v>0</v>
      </c>
      <c r="M37" s="80">
        <f t="shared" si="3"/>
        <v>0</v>
      </c>
      <c r="N37" s="77">
        <f>I37*'Assumed Values'!$C$7</f>
        <v>72.579761513385819</v>
      </c>
      <c r="O37" s="93">
        <f t="shared" si="4"/>
        <v>2.0801427935703939E-2</v>
      </c>
      <c r="P37" s="79">
        <f>(O37*H37)*'Assumed Values'!$C$5</f>
        <v>0</v>
      </c>
      <c r="Q37" s="80">
        <f t="shared" si="0"/>
        <v>0</v>
      </c>
    </row>
    <row r="38" spans="6:17" x14ac:dyDescent="0.25">
      <c r="F38" s="13" t="s">
        <v>63</v>
      </c>
      <c r="G38" s="13"/>
      <c r="H38" s="77"/>
      <c r="I38" s="76"/>
      <c r="J38" s="77"/>
      <c r="K38" s="78">
        <f>SUM(K5:K37)</f>
        <v>2.2236929661025338</v>
      </c>
      <c r="L38" s="79">
        <f>SUM(L5:L37)</f>
        <v>6125.4325086107783</v>
      </c>
      <c r="M38" s="80">
        <f>SUM(M5:M37)</f>
        <v>3270.0985561050911</v>
      </c>
      <c r="N38" s="77"/>
      <c r="O38" s="78">
        <f>SUM(O5:O37)</f>
        <v>0.50335669075736678</v>
      </c>
      <c r="P38" s="79">
        <f>SUM(P5:P37)</f>
        <v>351.81025815697546</v>
      </c>
      <c r="Q38" s="80">
        <f>SUM(Q5:Q37)</f>
        <v>187.81599758136969</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1.52097996324E-2</v>
      </c>
      <c r="D7" s="115"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6.7192703485499994E-2</v>
      </c>
      <c r="D8" s="115"/>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6" t="s">
        <v>121</v>
      </c>
      <c r="B1" s="116"/>
      <c r="C1" s="116"/>
      <c r="D1" s="116"/>
      <c r="E1" s="116"/>
      <c r="F1" s="116"/>
      <c r="G1" s="116"/>
      <c r="H1" s="116"/>
      <c r="I1" s="116"/>
      <c r="J1" s="116"/>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6" t="s">
        <v>121</v>
      </c>
      <c r="B20" s="116"/>
      <c r="C20" s="116"/>
      <c r="D20" s="116"/>
      <c r="E20" s="116"/>
      <c r="F20" s="116"/>
      <c r="G20" s="116"/>
      <c r="H20" s="116"/>
      <c r="I20" s="116"/>
      <c r="J20" s="116"/>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6" t="s">
        <v>121</v>
      </c>
      <c r="B1" s="116"/>
      <c r="C1" s="116"/>
      <c r="D1" s="116"/>
      <c r="E1" s="116"/>
      <c r="F1" s="116"/>
      <c r="G1" s="116"/>
      <c r="H1" s="116"/>
      <c r="I1" s="116"/>
      <c r="J1" s="116"/>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6" t="s">
        <v>121</v>
      </c>
      <c r="B20" s="116"/>
      <c r="C20" s="116"/>
      <c r="D20" s="116"/>
      <c r="E20" s="116"/>
      <c r="F20" s="116"/>
      <c r="G20" s="116"/>
      <c r="H20" s="116"/>
      <c r="I20" s="116"/>
      <c r="J20" s="116"/>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2018-10-24T20:51:05Z</dcterms:modified>
</cp:coreProperties>
</file>