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MHRA - Shepherd &amp; Durham\"/>
    </mc:Choice>
  </mc:AlternateContent>
  <xr:revisionPtr revIDLastSave="0" documentId="13_ncr:1_{2B0C4C4E-42D4-4086-9EBC-E4B13D23F91D}" xr6:coauthVersionLast="37" xr6:coauthVersionMax="37" xr10:uidLastSave="{00000000-0000-0000-0000-000000000000}"/>
  <bookViews>
    <workbookView xWindow="8835"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T8" i="12" l="1"/>
  <c r="U8" i="12" s="1"/>
  <c r="G27" i="7"/>
  <c r="H26" i="7"/>
  <c r="I26" i="7" s="1"/>
  <c r="J26" i="7" s="1"/>
  <c r="S28" i="12"/>
  <c r="P29" i="12"/>
  <c r="Q28" i="12"/>
  <c r="M29" i="12"/>
  <c r="T9" i="12" l="1"/>
  <c r="U9" i="12" s="1"/>
  <c r="G28" i="7"/>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29" i="12" l="1"/>
  <c r="J33" i="12"/>
  <c r="J32" i="12"/>
  <c r="J31" i="12"/>
  <c r="J27" i="12"/>
  <c r="J30" i="12"/>
  <c r="J28" i="12"/>
  <c r="J5" i="12" l="1"/>
  <c r="R10" i="12" s="1"/>
  <c r="T10" i="12" s="1"/>
  <c r="U10" i="12" s="1"/>
  <c r="R11" i="12" l="1"/>
  <c r="T11" i="12" s="1"/>
  <c r="U11" i="12" s="1"/>
  <c r="R12" i="12" l="1"/>
  <c r="T12" i="12" s="1"/>
  <c r="U12" i="12" s="1"/>
  <c r="R13" i="12" l="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R30" i="12" l="1"/>
  <c r="T29" i="12"/>
  <c r="U29" i="12" s="1"/>
  <c r="R31" i="12" l="1"/>
  <c r="T30" i="12"/>
  <c r="U30" i="12" s="1"/>
  <c r="R32" i="12" l="1"/>
  <c r="T31" i="12"/>
  <c r="U31" i="12" s="1"/>
  <c r="R33" i="12" l="1"/>
  <c r="T32" i="12"/>
  <c r="U32" i="12" s="1"/>
  <c r="R34" i="12" l="1"/>
  <c r="T33" i="12"/>
  <c r="U33" i="12" s="1"/>
  <c r="R35" i="12" l="1"/>
  <c r="T34" i="12"/>
  <c r="U34" i="12" s="1"/>
  <c r="R36" i="12" l="1"/>
  <c r="T36" i="12" s="1"/>
  <c r="U36" i="12" s="1"/>
  <c r="T35" i="12"/>
  <c r="U35"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<sst xmlns="http://schemas.openxmlformats.org/spreadsheetml/2006/main" count="440" uniqueCount="285">
  <si>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</si>
  <si>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</si>
  <si>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</si>
  <si>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</si>
  <si>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</si>
  <si>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</si>
  <si>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</si>
  <si>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</si>
  <si>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</si>
  <si>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</si>
  <si>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</si>
  <si>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</si>
  <si>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</si>
  <si>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</si>
  <si>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</si>
  <si>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</si>
  <si>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</si>
  <si>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</si>
  <si>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</si>
  <si>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</si>
  <si>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</si>
  <si>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</si>
  <si>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</si>
  <si>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</si>
  <si>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</si>
  <si>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</si>
  <si>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</si>
  <si>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</si>
  <si>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</si>
  <si>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</si>
  <si>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</si>
  <si>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</si>
  <si>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</si>
  <si>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</si>
  <si>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</si>
  <si>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</si>
  <si>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</si>
  <si>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</si>
  <si>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</si>
  <si>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</si>
  <si>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</si>
  <si>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</si>
  <si>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</si>
  <si>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</si>
  <si>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</si>
  <si>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</si>
  <si>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</si>
  <si>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</si>
  <si>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</si>
  <si>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</si>
  <si>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</si>
  <si>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</si>
  <si>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</si>
  <si>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</si>
  <si>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</si>
  <si>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</si>
  <si>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</si>
  <si>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</si>
  <si>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</si>
  <si>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</si>
  <si>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</si>
  <si>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</si>
  <si>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</si>
  <si>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</si>
  <si>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</si>
  <si>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</si>
  <si>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</si>
  <si>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</si>
  <si>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</si>
  <si>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</si>
  <si>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</si>
  <si>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</si>
  <si>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</si>
  <si>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</si>
  <si>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</si>
  <si>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</si>
  <si>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</si>
  <si>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</si>
  <si>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</si>
  <si>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</si>
  <si>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</si>
  <si>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</si>
  <si>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</si>
  <si>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</si>
  <si>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</si>
  <si>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</si>
  <si>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</si>
  <si>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</si>
  <si>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</si>
  <si>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</si>
  <si>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</si>
  <si>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</si>
  <si>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</si>
  <si>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</si>
  <si>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</si>
  <si>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</si>
  <si>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</si>
  <si>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</si>
  <si>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</si>
  <si>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</si>
  <si>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</si>
  <si>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</si>
  <si>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</si>
  <si>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</si>
  <si>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</si>
  <si>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</si>
  <si>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</si>
  <si>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</si>
  <si>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</si>
  <si>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</si>
  <si>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</si>
  <si>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</si>
  <si>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</si>
  <si>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</si>
  <si>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</si>
  <si>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</si>
  <si>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</si>
  <si>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</si>
  <si>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</si>
  <si>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</si>
  <si>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</si>
  <si>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</si>
  <si>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</si>
  <si>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</si>
  <si>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</si>
  <si>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</si>
  <si>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</si>
  <si>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</si>
  <si>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</si>
  <si>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</si>
  <si>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</si>
  <si>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</si>
  <si>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</si>
  <si>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</si>
  <si>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</si>
  <si>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</si>
  <si>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</si>
  <si>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</si>
  <si>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</si>
  <si>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</si>
  <si>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</si>
  <si>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</si>
  <si>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</si>
  <si>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</si>
  <si>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</si>
  <si>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</si>
  <si>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</si>
  <si>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</si>
  <si>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</si>
  <si>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</si>
  <si>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</si>
  <si>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</si>
  <si>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</si>
  <si>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</si>
  <si>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</si>
  <si>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</si>
  <si>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</si>
  <si>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</si>
  <si>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</si>
  <si>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</si>
  <si>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</si>
  <si>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</si>
  <si>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</si>
  <si>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</si>
  <si>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</si>
  <si>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</si>
  <si>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</si>
  <si>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</si>
  <si>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</si>
  <si>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</si>
  <si>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</si>
  <si>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</si>
  <si>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</si>
  <si>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</si>
  <si>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</si>
  <si>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</si>
  <si>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</si>
  <si>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</si>
  <si>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</si>
  <si>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</si>
  <si>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</si>
  <si>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</si>
  <si>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</si>
  <si>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</si>
  <si>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</si>
  <si>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</si>
  <si>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</si>
  <si>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</si>
  <si>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</si>
  <si>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</si>
  <si>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</si>
  <si>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</si>
  <si>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</si>
  <si>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</si>
  <si>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</si>
  <si>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</si>
  <si>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</si>
  <si>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</si>
  <si>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</si>
  <si>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</si>
  <si>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</si>
  <si>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</si>
  <si>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</si>
  <si>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</si>
  <si>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</si>
  <si>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</si>
  <si>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</si>
  <si>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</si>
  <si>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</si>
  <si>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</si>
  <si>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</si>
  <si>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</si>
  <si>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</si>
  <si>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</si>
  <si>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</si>
  <si>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</si>
  <si>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</si>
  <si>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</si>
  <si>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</si>
  <si>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</si>
  <si>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</si>
  <si>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</si>
  <si>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</si>
  <si>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</si>
  <si>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</si>
  <si>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</si>
  <si>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</si>
  <si>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</si>
  <si>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</si>
  <si>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</si>
  <si>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</si>
  <si>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</si>
  <si>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</si>
  <si>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</si>
  <si>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</si>
  <si>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</si>
  <si>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</si>
  <si>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</si>
  <si>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</si>
  <si>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</si>
  <si>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</si>
  <si>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</si>
  <si>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</si>
  <si>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</si>
  <si>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</si>
  <si>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</si>
  <si>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</si>
  <si>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</si>
  <si>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</si>
  <si>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</si>
  <si>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</si>
  <si>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</si>
  <si>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</si>
  <si>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</si>
  <si>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</si>
  <si>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</si>
  <si>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</si>
  <si>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</si>
  <si>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</si>
  <si>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</si>
  <si>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</si>
  <si>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</si>
  <si>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</si>
  <si>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</si>
  <si>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</si>
  <si>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</si>
  <si>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</si>
  <si>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</si>
  <si>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</si>
  <si>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</si>
  <si>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</si>
  <si>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</si>
  <si>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</si>
  <si>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</si>
  <si>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</si>
  <si>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</si>
  <si>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</si>
  <si>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</si>
  <si>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</si>
  <si>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</si>
  <si>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</si>
  <si>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Shepherd &amp; Durham Drive Complete Streets and Resiliency Project</t>
  </si>
  <si>
    <t>Shepherd &amp; Durham</t>
  </si>
  <si>
    <t>White Oak Bayou</t>
  </si>
  <si>
    <t>I-610 frontage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</si>
</sst>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9" t="s">
        <v>34</v>
      </c>
      <c r="E6" s="180"/>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9" t="s">
        <v>34</v>
      </c>
      <c r="E6" s="180"/>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9" t="s">
        <v>35</v>
      </c>
      <c r="E8" s="180"/>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4" zoomScaleNormal="100" workbookViewId="0">
      <selection activeCell="F13" sqref="F13:F1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78" t="s">
        <v>283</v>
      </c>
      <c r="D10" s="64"/>
      <c r="E10" s="9"/>
      <c r="F10" t="s">
        <v>258</v>
      </c>
    </row>
    <row r="11" spans="2:19" x14ac:dyDescent="0.25">
      <c r="B11" s="4" t="s">
        <v>115</v>
      </c>
      <c r="C11" s="178" t="s">
        <v>284</v>
      </c>
      <c r="D11" s="64"/>
    </row>
    <row r="12" spans="2:19" x14ac:dyDescent="0.25">
      <c r="B12" s="4" t="s">
        <v>116</v>
      </c>
      <c r="C12" s="178">
        <v>5.43</v>
      </c>
      <c r="D12" s="95"/>
      <c r="N12" s="181"/>
      <c r="O12" s="181"/>
      <c r="P12" s="181"/>
      <c r="Q12" s="181"/>
      <c r="R12" s="181"/>
      <c r="S12" s="181"/>
    </row>
    <row r="13" spans="2:19" x14ac:dyDescent="0.25">
      <c r="B13" s="4" t="s">
        <v>77</v>
      </c>
      <c r="C13" s="121">
        <v>211</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50771</v>
      </c>
      <c r="D25" s="99"/>
      <c r="I25" s="49"/>
    </row>
    <row r="26" spans="2:13" x14ac:dyDescent="0.25">
      <c r="I26" s="49"/>
    </row>
    <row r="27" spans="2:13" x14ac:dyDescent="0.25">
      <c r="B27" s="86" t="s">
        <v>269</v>
      </c>
      <c r="C27" s="87">
        <v>24142</v>
      </c>
      <c r="D27" s="99"/>
      <c r="I27" s="49"/>
    </row>
    <row r="28" spans="2:13" x14ac:dyDescent="0.25">
      <c r="B28" s="86" t="s">
        <v>150</v>
      </c>
      <c r="C28" s="87">
        <v>16532</v>
      </c>
      <c r="D28" s="99"/>
      <c r="I28" s="49"/>
    </row>
    <row r="29" spans="2:13" x14ac:dyDescent="0.25">
      <c r="B29" s="86" t="s">
        <v>270</v>
      </c>
      <c r="C29" s="88">
        <v>25308</v>
      </c>
      <c r="D29" s="69"/>
      <c r="I29" s="49"/>
    </row>
    <row r="30" spans="2:13" x14ac:dyDescent="0.25">
      <c r="B30" s="86" t="s">
        <v>151</v>
      </c>
      <c r="C30" s="88">
        <v>16532</v>
      </c>
      <c r="D30" s="69"/>
      <c r="I30" s="49"/>
    </row>
    <row r="31" spans="2:13" x14ac:dyDescent="0.25">
      <c r="B31" s="86" t="s">
        <v>271</v>
      </c>
      <c r="C31" s="87">
        <v>28795</v>
      </c>
      <c r="D31" s="99"/>
      <c r="H31" s="70"/>
    </row>
    <row r="32" spans="2:13" x14ac:dyDescent="0.25">
      <c r="B32" s="86" t="s">
        <v>152</v>
      </c>
      <c r="C32" s="87">
        <v>16532</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45077.897490258307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52865.69293478621</v>
      </c>
      <c r="G4" s="184" t="s">
        <v>260</v>
      </c>
      <c r="H4" s="184"/>
      <c r="I4" s="184"/>
      <c r="J4" s="184"/>
      <c r="L4" s="136"/>
      <c r="M4" s="137">
        <v>2018</v>
      </c>
      <c r="N4" s="138">
        <f>_2018_Volume_ADT</f>
        <v>50771</v>
      </c>
      <c r="O4" s="139" t="s">
        <v>85</v>
      </c>
      <c r="P4" s="140">
        <f>MIN(B12,1)</f>
        <v>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287060.71263588913</v>
      </c>
      <c r="G5" s="185" t="s">
        <v>261</v>
      </c>
      <c r="H5" s="185"/>
      <c r="I5" s="185"/>
      <c r="J5" s="143">
        <f>SUMPRODUCT(Possible_Crash_Reductions,'Value of Statistical Life'!E5:E11)</f>
        <v>5967906.185140172</v>
      </c>
      <c r="L5" s="136"/>
      <c r="M5" s="144">
        <f t="shared" ref="M5:M36" si="1">M4+1</f>
        <v>2019</v>
      </c>
      <c r="N5" s="145">
        <f>N4+(N4*O5)</f>
        <v>51114.260981744104</v>
      </c>
      <c r="O5" s="146">
        <f t="shared" ref="O5:O11" si="2">IF(ISERROR(_2025_2045_Demand_Growth),_2018_2045_Demand_Growth,_2018_2025_Demand_Growth)</f>
        <v>6.7609655461602358E-3</v>
      </c>
      <c r="P5" s="147">
        <f t="shared" ref="P5:P11" si="3">P4*(1+IFERROR(_2018_2025_V_C_Growth,_2018_2045_V_C_Growth))</f>
        <v>1.0067609655461602</v>
      </c>
      <c r="Q5" s="148">
        <f t="shared" ref="Q5:Q36" si="4">-(ROUNDUP(P5,0)-2)</f>
        <v>0</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74635785.285331175</v>
      </c>
      <c r="L6" s="136"/>
      <c r="M6" s="137">
        <f t="shared" si="1"/>
        <v>2020</v>
      </c>
      <c r="N6" s="145">
        <f t="shared" ref="N6:N36" si="6">N5+(N5*O6)</f>
        <v>51459.842739159118</v>
      </c>
      <c r="O6" s="146">
        <f t="shared" si="2"/>
        <v>6.7609655461602358E-3</v>
      </c>
      <c r="P6" s="147">
        <f t="shared" si="3"/>
        <v>1.0135676417474369</v>
      </c>
      <c r="Q6" s="148">
        <f t="shared" si="4"/>
        <v>0</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51807.760962929395</v>
      </c>
      <c r="O7" s="146">
        <f t="shared" si="2"/>
        <v>6.7609655461602358E-3</v>
      </c>
      <c r="P7" s="147">
        <f t="shared" si="3"/>
        <v>1.0204203376519942</v>
      </c>
      <c r="Q7" s="148">
        <f t="shared" si="4"/>
        <v>0</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52158.031449823466</v>
      </c>
      <c r="O8" s="146">
        <f t="shared" si="2"/>
        <v>6.7609655461602358E-3</v>
      </c>
      <c r="P8" s="147">
        <f t="shared" si="3"/>
        <v>1.0273193643974605</v>
      </c>
      <c r="Q8" s="148">
        <f t="shared" si="4"/>
        <v>0</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6.7609655461602358E-3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52510.670103411263</v>
      </c>
      <c r="O9" s="146">
        <f t="shared" si="2"/>
        <v>6.7609655461602358E-3</v>
      </c>
      <c r="P9" s="147">
        <f t="shared" si="3"/>
        <v>1.0342650352250551</v>
      </c>
      <c r="Q9" s="148">
        <f t="shared" si="4"/>
        <v>0</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6.4749328116577853E-3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52865.69293478621</v>
      </c>
      <c r="O10" s="146">
        <f t="shared" si="2"/>
        <v>6.7609655461602358E-3</v>
      </c>
      <c r="P10" s="147">
        <f t="shared" si="3"/>
        <v>1.0412576654938099</v>
      </c>
      <c r="Q10" s="148">
        <f t="shared" si="4"/>
        <v>0</v>
      </c>
      <c r="R10" s="37">
        <f>IF(M10=Year_Open_to_Traffic?,Calculations!$J$5,Calculations!R9+(Calculations!R9*Calculations!O10*Q10))</f>
        <v>5967906.185140172</v>
      </c>
      <c r="S10" s="54">
        <f t="shared" si="0"/>
        <v>1</v>
      </c>
      <c r="T10" s="37">
        <f t="shared" si="5"/>
        <v>5967.9061851401721</v>
      </c>
      <c r="U10" s="142">
        <f>T10/(1+Real_Discount_Rate)^(Calculations!M10-'Assumed Values'!$C$5)</f>
        <v>3976.667878934622</v>
      </c>
    </row>
    <row r="11" spans="1:21" ht="15.75" x14ac:dyDescent="0.25">
      <c r="A11" s="152" t="s">
        <v>107</v>
      </c>
      <c r="B11" s="153">
        <f>(_2045_Peak_Period_Volume/'Inputs &amp; Outputs'!$C$27)^(1/(2045-2018))-1</f>
        <v>6.5490816423463549E-3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53223.116063292189</v>
      </c>
      <c r="O11" s="146">
        <f t="shared" si="2"/>
        <v>6.7609655461602358E-3</v>
      </c>
      <c r="P11" s="147">
        <f t="shared" si="3"/>
        <v>1.0482975726948889</v>
      </c>
      <c r="Q11" s="148">
        <f t="shared" si="4"/>
        <v>0</v>
      </c>
      <c r="R11" s="37">
        <f>IF(M11=Year_Open_to_Traffic?,Calculations!$J$5,Calculations!R10+(Calculations!R10*Calculations!O11*Q11))</f>
        <v>5967906.185140172</v>
      </c>
      <c r="S11" s="54">
        <f t="shared" si="0"/>
        <v>1</v>
      </c>
      <c r="T11" s="37">
        <f t="shared" si="5"/>
        <v>5967.9061851401721</v>
      </c>
      <c r="U11" s="142">
        <f>T11/(1+Real_Discount_Rate)^(Calculations!M11-'Assumed Values'!$C$5)</f>
        <v>3716.5120363874971</v>
      </c>
    </row>
    <row r="12" spans="1:21" ht="15.75" x14ac:dyDescent="0.25">
      <c r="A12" s="152" t="s">
        <v>75</v>
      </c>
      <c r="B12" s="156">
        <f>'Inputs &amp; Outputs'!C27/_2018_Peak_Period_Capacity</f>
        <v>1.4603193805952093</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53567.732163829067</v>
      </c>
      <c r="O12" s="146">
        <f t="shared" ref="O12:O36" si="7">IFERROR(_2025_2045_Demand_Growth,_2018_2045_Demand_Growth)</f>
        <v>6.4749328116577853E-3</v>
      </c>
      <c r="P12" s="147">
        <f t="shared" ref="P12:P36" si="8">P11*(1+IFERROR(_2025_2040_V_C_Growth,_2018_2045_V_C_Growth))</f>
        <v>1.0550852290447121</v>
      </c>
      <c r="Q12" s="148">
        <f t="shared" si="4"/>
        <v>0</v>
      </c>
      <c r="R12" s="37">
        <f>IF(M12=Year_Open_to_Traffic?,Calculations!$J$5,Calculations!R11+(Calculations!R11*Calculations!O12*Q12))</f>
        <v>5967906.185140172</v>
      </c>
      <c r="S12" s="54">
        <f t="shared" si="0"/>
        <v>1</v>
      </c>
      <c r="T12" s="37">
        <f t="shared" si="5"/>
        <v>5967.9061851401721</v>
      </c>
      <c r="U12" s="142">
        <f>T12/(1+Real_Discount_Rate)^(Calculations!M12-'Assumed Values'!$C$5)</f>
        <v>3473.375734941586</v>
      </c>
    </row>
    <row r="13" spans="1:21" ht="15.75" x14ac:dyDescent="0.25">
      <c r="A13" s="152" t="s">
        <v>74</v>
      </c>
      <c r="B13" s="156">
        <f>_2025_Peak_Period_Volume/_2025_Peak_Period_Capacity</f>
        <v>1.5308492620372611</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53914.579630462737</v>
      </c>
      <c r="O13" s="146">
        <f t="shared" si="7"/>
        <v>6.4749328116577853E-3</v>
      </c>
      <c r="P13" s="147">
        <f t="shared" si="8"/>
        <v>1.0619168350133492</v>
      </c>
      <c r="Q13" s="148">
        <f t="shared" si="4"/>
        <v>0</v>
      </c>
      <c r="R13" s="37">
        <f>IF(M13=Year_Open_to_Traffic?,Calculations!$J$5,Calculations!R12+(Calculations!R12*Calculations!O13*Q13))</f>
        <v>5967906.185140172</v>
      </c>
      <c r="S13" s="54">
        <f t="shared" si="0"/>
        <v>1</v>
      </c>
      <c r="T13" s="37">
        <f t="shared" si="5"/>
        <v>5967.9061851401721</v>
      </c>
      <c r="U13" s="142">
        <f>T13/(1+Real_Discount_Rate)^(Calculations!M13-'Assumed Values'!$C$5)</f>
        <v>3246.1455466743791</v>
      </c>
    </row>
    <row r="14" spans="1:21" ht="15.75" x14ac:dyDescent="0.25">
      <c r="A14" s="152" t="s">
        <v>148</v>
      </c>
      <c r="B14" s="156">
        <f>_2045_Peak_Period_Volume/_2045_Peak_Period_Capacity</f>
        <v>1.741773530123397</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54263.672911138754</v>
      </c>
      <c r="O14" s="146">
        <f t="shared" si="7"/>
        <v>6.4749328116577853E-3</v>
      </c>
      <c r="P14" s="147">
        <f>P13*(1+IFERROR(_2025_2040_V_C_Growth,_2018_2045_V_C_Growth))</f>
        <v>1.068792675171629</v>
      </c>
      <c r="Q14" s="148">
        <f t="shared" si="4"/>
        <v>0</v>
      </c>
      <c r="R14" s="37">
        <f>IF(M14=Year_Open_to_Traffic?,Calculations!$J$5,Calculations!R13+(Calculations!R13*Calculations!O14*Q14))</f>
        <v>5967906.185140172</v>
      </c>
      <c r="S14" s="54">
        <f t="shared" si="0"/>
        <v>1</v>
      </c>
      <c r="T14" s="37">
        <f t="shared" si="5"/>
        <v>5967.9061851401721</v>
      </c>
      <c r="U14" s="142">
        <f>T14/(1+Real_Discount_Rate)^(Calculations!M14-'Assumed Values'!$C$5)</f>
        <v>3033.7808847424108</v>
      </c>
    </row>
    <row r="15" spans="1:21" ht="15.75" x14ac:dyDescent="0.25">
      <c r="A15" s="152" t="s">
        <v>80</v>
      </c>
      <c r="B15" s="153">
        <f>(B13/B12)^(1/(2025-2018))-1</f>
        <v>6.7609655461602358E-3</v>
      </c>
      <c r="L15" s="136"/>
      <c r="M15" s="144">
        <f>M14+1</f>
        <v>2029</v>
      </c>
      <c r="N15" s="145">
        <f t="shared" si="6"/>
        <v>54615.02654735215</v>
      </c>
      <c r="O15" s="146">
        <f t="shared" si="7"/>
        <v>6.4749328116577853E-3</v>
      </c>
      <c r="P15" s="147">
        <f>P14*(1+IFERROR(_2025_2040_V_C_Growth,_2018_2045_V_C_Growth))</f>
        <v>1.0757130359329572</v>
      </c>
      <c r="Q15" s="148">
        <f t="shared" si="4"/>
        <v>0</v>
      </c>
      <c r="R15" s="37">
        <f>IF(M15=Year_Open_to_Traffic?,Calculations!$J$5,Calculations!R14+(Calculations!R14*Calculations!O15*Q15))</f>
        <v>5967906.185140172</v>
      </c>
      <c r="S15" s="54">
        <f t="shared" si="0"/>
        <v>1</v>
      </c>
      <c r="T15" s="37">
        <f t="shared" si="5"/>
        <v>5967.9061851401721</v>
      </c>
      <c r="U15" s="142">
        <f>T15/(1+Real_Discount_Rate)^(Calculations!M15-'Assumed Values'!$C$5)</f>
        <v>2835.309238077019</v>
      </c>
    </row>
    <row r="16" spans="1:21" ht="15.75" x14ac:dyDescent="0.25">
      <c r="A16" s="152" t="s">
        <v>108</v>
      </c>
      <c r="B16" s="153">
        <f>(B14/B13)^(1/(2045-2025))-1</f>
        <v>6.4749328116577853E-3</v>
      </c>
      <c r="D16" s="157" t="s">
        <v>136</v>
      </c>
      <c r="E16" s="151"/>
      <c r="L16" s="136"/>
      <c r="M16" s="137">
        <f t="shared" si="1"/>
        <v>2030</v>
      </c>
      <c r="N16" s="145">
        <f t="shared" si="6"/>
        <v>54968.655174753163</v>
      </c>
      <c r="O16" s="146">
        <f t="shared" si="7"/>
        <v>6.4749328116577853E-3</v>
      </c>
      <c r="P16" s="147">
        <f t="shared" si="8"/>
        <v>1.0826782055652475</v>
      </c>
      <c r="Q16" s="148">
        <f t="shared" si="4"/>
        <v>0</v>
      </c>
      <c r="R16" s="37">
        <f>IF(M16=Year_Open_to_Traffic?,Calculations!$J$5,Calculations!R15+(Calculations!R15*Calculations!O16*Q16))</f>
        <v>5967906.185140172</v>
      </c>
      <c r="S16" s="54">
        <f t="shared" si="0"/>
        <v>1</v>
      </c>
      <c r="T16" s="37">
        <f t="shared" si="5"/>
        <v>5967.9061851401721</v>
      </c>
      <c r="U16" s="142">
        <f>T16/(1+Real_Discount_Rate)^(Calculations!M16-'Assumed Values'!$C$5)</f>
        <v>2649.8217178289901</v>
      </c>
    </row>
    <row r="17" spans="1:21" ht="15.75" x14ac:dyDescent="0.25">
      <c r="A17" s="152" t="s">
        <v>109</v>
      </c>
      <c r="B17" s="153">
        <f>(B14/B12)^(1/(2045-2018))-1</f>
        <v>6.5490816423463549E-3</v>
      </c>
      <c r="D17" s="152" t="s">
        <v>89</v>
      </c>
      <c r="E17" s="158">
        <f>($E$6*Death_Rate)/100000000</f>
        <v>1.3028229783061627</v>
      </c>
      <c r="L17" s="136"/>
      <c r="M17" s="144">
        <f t="shared" si="1"/>
        <v>2031</v>
      </c>
      <c r="N17" s="145">
        <f t="shared" si="6"/>
        <v>55324.573523756873</v>
      </c>
      <c r="O17" s="146">
        <f t="shared" si="7"/>
        <v>6.4749328116577853E-3</v>
      </c>
      <c r="P17" s="147">
        <f t="shared" si="8"/>
        <v>1.0896884742029287</v>
      </c>
      <c r="Q17" s="148">
        <f t="shared" si="4"/>
        <v>0</v>
      </c>
      <c r="R17" s="37">
        <f>IF(M17=Year_Open_to_Traffic?,Calculations!$J$5,Calculations!R16+(Calculations!R16*Calculations!O17*Q17))</f>
        <v>5967906.185140172</v>
      </c>
      <c r="S17" s="54">
        <f t="shared" si="0"/>
        <v>1</v>
      </c>
      <c r="T17" s="37">
        <f t="shared" si="5"/>
        <v>5967.9061851401721</v>
      </c>
      <c r="U17" s="142">
        <f>T17/(1+Real_Discount_Rate)^(Calculations!M17-'Assumed Values'!$C$5)</f>
        <v>2476.4688951672802</v>
      </c>
    </row>
    <row r="18" spans="1:21" ht="15.75" x14ac:dyDescent="0.25">
      <c r="D18" s="152" t="s">
        <v>94</v>
      </c>
      <c r="E18" s="158">
        <f>($E$6*Incap_Injry_Rate)/100000000</f>
        <v>6.5855600225992168</v>
      </c>
      <c r="L18" s="136"/>
      <c r="M18" s="137">
        <f t="shared" si="1"/>
        <v>2032</v>
      </c>
      <c r="N18" s="145">
        <f t="shared" si="6"/>
        <v>55682.796420156817</v>
      </c>
      <c r="O18" s="146">
        <f t="shared" si="7"/>
        <v>6.4749328116577853E-3</v>
      </c>
      <c r="P18" s="147">
        <f t="shared" si="8"/>
        <v>1.0967441338590305</v>
      </c>
      <c r="Q18" s="148">
        <f t="shared" si="4"/>
        <v>0</v>
      </c>
      <c r="R18" s="37">
        <f>IF(M18=Year_Open_to_Traffic?,Calculations!$J$5,Calculations!R17+(Calculations!R17*Calculations!O18*Q18))</f>
        <v>5967906.185140172</v>
      </c>
      <c r="S18" s="54">
        <f t="shared" si="0"/>
        <v>1</v>
      </c>
      <c r="T18" s="37">
        <f t="shared" si="5"/>
        <v>5967.9061851401721</v>
      </c>
      <c r="U18" s="142">
        <f>T18/(1+Real_Discount_Rate)^(Calculations!M18-'Assumed Values'!$C$5)</f>
        <v>2314.4569113712901</v>
      </c>
    </row>
    <row r="19" spans="1:21" ht="15.75" x14ac:dyDescent="0.25">
      <c r="D19" s="152" t="s">
        <v>93</v>
      </c>
      <c r="E19" s="158">
        <f>($E$6*Nonincap_Injry_Rate)/100000000</f>
        <v>37.155670810338009</v>
      </c>
      <c r="L19" s="136"/>
      <c r="M19" s="144">
        <f t="shared" si="1"/>
        <v>2033</v>
      </c>
      <c r="N19" s="145">
        <f t="shared" si="6"/>
        <v>56043.338785742555</v>
      </c>
      <c r="O19" s="146">
        <f t="shared" si="7"/>
        <v>6.4749328116577853E-3</v>
      </c>
      <c r="P19" s="147">
        <f t="shared" si="8"/>
        <v>1.1038454784373475</v>
      </c>
      <c r="Q19" s="148">
        <f t="shared" si="4"/>
        <v>0</v>
      </c>
      <c r="R19" s="37">
        <f>IF(M19=Year_Open_to_Traffic?,Calculations!$J$5,Calculations!R18+(Calculations!R18*Calculations!O19*Q19))</f>
        <v>5967906.185140172</v>
      </c>
      <c r="S19" s="54">
        <f t="shared" si="0"/>
        <v>1</v>
      </c>
      <c r="T19" s="37">
        <f t="shared" si="5"/>
        <v>5967.9061851401721</v>
      </c>
      <c r="U19" s="142">
        <f>T19/(1+Real_Discount_Rate)^(Calculations!M19-'Assumed Values'!$C$5)</f>
        <v>2163.0438424030744</v>
      </c>
    </row>
    <row r="20" spans="1:21" ht="15.75" x14ac:dyDescent="0.25">
      <c r="D20" s="152" t="s">
        <v>92</v>
      </c>
      <c r="E20" s="158">
        <f>($E$6*Poss_Injry_Rate/100000000)</f>
        <v>92.756793400630059</v>
      </c>
      <c r="L20" s="136"/>
      <c r="M20" s="137">
        <f t="shared" si="1"/>
        <v>2034</v>
      </c>
      <c r="N20" s="145">
        <f t="shared" si="6"/>
        <v>56406.21563892121</v>
      </c>
      <c r="O20" s="146">
        <f t="shared" si="7"/>
        <v>6.4749328116577853E-3</v>
      </c>
      <c r="P20" s="147">
        <f t="shared" si="8"/>
        <v>1.1109928037446815</v>
      </c>
      <c r="Q20" s="148">
        <f t="shared" si="4"/>
        <v>0</v>
      </c>
      <c r="R20" s="37">
        <f>IF(M20=Year_Open_to_Traffic?,Calculations!$J$5,Calculations!R19+(Calculations!R19*Calculations!O20*Q20))</f>
        <v>5967906.185140172</v>
      </c>
      <c r="S20" s="54">
        <f t="shared" si="0"/>
        <v>1</v>
      </c>
      <c r="T20" s="37">
        <f t="shared" si="5"/>
        <v>5967.9061851401721</v>
      </c>
      <c r="U20" s="142">
        <f>T20/(1+Real_Discount_Rate)^(Calculations!M20-'Assumed Values'!$C$5)</f>
        <v>2021.5363013112849</v>
      </c>
    </row>
    <row r="21" spans="1:21" ht="15.75" x14ac:dyDescent="0.25">
      <c r="D21" s="152" t="s">
        <v>91</v>
      </c>
      <c r="E21" s="158">
        <f>($E$6*Non_Injry_Rate)/100000000</f>
        <v>719.23393181083895</v>
      </c>
      <c r="L21" s="136"/>
      <c r="M21" s="144">
        <f>M20+1</f>
        <v>2035</v>
      </c>
      <c r="N21" s="145">
        <f t="shared" si="6"/>
        <v>56771.442095343104</v>
      </c>
      <c r="O21" s="146">
        <f t="shared" si="7"/>
        <v>6.4749328116577853E-3</v>
      </c>
      <c r="P21" s="147">
        <f>P20*(1+IFERROR(_2025_2040_V_C_Growth,_2018_2045_V_C_Growth))</f>
        <v>1.1181864075031636</v>
      </c>
      <c r="Q21" s="148">
        <f t="shared" si="4"/>
        <v>0</v>
      </c>
      <c r="R21" s="37">
        <f>IF(M21=Year_Open_to_Traffic?,Calculations!$J$5,Calculations!R20+(Calculations!R20*Calculations!O21*Q21))</f>
        <v>5967906.185140172</v>
      </c>
      <c r="S21" s="54">
        <f t="shared" si="0"/>
        <v>1</v>
      </c>
      <c r="T21" s="37">
        <f t="shared" si="5"/>
        <v>5967.9061851401721</v>
      </c>
      <c r="U21" s="142">
        <f>T21/(1+Real_Discount_Rate)^(Calculations!M21-'Assumed Values'!$C$5)</f>
        <v>1889.2862629077429</v>
      </c>
    </row>
    <row r="22" spans="1:21" ht="15.75" x14ac:dyDescent="0.25">
      <c r="D22" s="152" t="s">
        <v>90</v>
      </c>
      <c r="E22" s="158">
        <f>($E$6*Unkn_Injry_Rate)/100000000</f>
        <v>62.409423315633916</v>
      </c>
      <c r="L22" s="136"/>
      <c r="M22" s="137">
        <f>M21+1</f>
        <v>2036</v>
      </c>
      <c r="N22" s="145">
        <f t="shared" si="6"/>
        <v>57139.033368531367</v>
      </c>
      <c r="O22" s="146">
        <f t="shared" si="7"/>
        <v>6.4749328116577853E-3</v>
      </c>
      <c r="P22" s="147">
        <f t="shared" si="8"/>
        <v>1.1254265893626556</v>
      </c>
      <c r="Q22" s="148">
        <f t="shared" si="4"/>
        <v>0</v>
      </c>
      <c r="R22" s="37">
        <f>IF(M22=Year_Open_to_Traffic?,Calculations!$J$5,Calculations!R21+(Calculations!R21*Calculations!O22*Q22))</f>
        <v>5967906.185140172</v>
      </c>
      <c r="S22" s="54">
        <f t="shared" si="0"/>
        <v>1</v>
      </c>
      <c r="T22" s="37">
        <f t="shared" si="5"/>
        <v>5967.9061851401721</v>
      </c>
      <c r="U22" s="142">
        <f>T22/(1+Real_Discount_Rate)^(Calculations!M22-'Assumed Values'!$C$5)</f>
        <v>1765.6880961754607</v>
      </c>
    </row>
    <row r="23" spans="1:21" ht="15.75" x14ac:dyDescent="0.25">
      <c r="L23" s="136"/>
      <c r="M23" s="144">
        <f t="shared" si="1"/>
        <v>2037</v>
      </c>
      <c r="N23" s="145">
        <f t="shared" si="6"/>
        <v>57509.004770515683</v>
      </c>
      <c r="O23" s="146">
        <f t="shared" si="7"/>
        <v>6.4749328116577853E-3</v>
      </c>
      <c r="P23" s="147">
        <f t="shared" si="8"/>
        <v>1.1327136509132321</v>
      </c>
      <c r="Q23" s="148">
        <f t="shared" si="4"/>
        <v>0</v>
      </c>
      <c r="R23" s="37">
        <f>IF(M23=Year_Open_to_Traffic?,Calculations!$J$5,Calculations!R22+(Calculations!R22*Calculations!O23*Q23))</f>
        <v>5967906.185140172</v>
      </c>
      <c r="S23" s="54">
        <f t="shared" si="0"/>
        <v>1</v>
      </c>
      <c r="T23" s="37">
        <f t="shared" si="5"/>
        <v>5967.9061851401721</v>
      </c>
      <c r="U23" s="142">
        <f>T23/(1+Real_Discount_Rate)^(Calculations!M23-'Assumed Values'!$C$5)</f>
        <v>1650.1757908181874</v>
      </c>
    </row>
    <row r="24" spans="1:21" ht="15.75" x14ac:dyDescent="0.25">
      <c r="L24" s="136"/>
      <c r="M24" s="137">
        <f t="shared" si="1"/>
        <v>2038</v>
      </c>
      <c r="N24" s="145">
        <f t="shared" si="6"/>
        <v>57881.371712470078</v>
      </c>
      <c r="O24" s="146">
        <f t="shared" si="7"/>
        <v>6.4749328116577853E-3</v>
      </c>
      <c r="P24" s="147">
        <f t="shared" si="8"/>
        <v>1.1400478956977429</v>
      </c>
      <c r="Q24" s="148">
        <f t="shared" si="4"/>
        <v>0</v>
      </c>
      <c r="R24" s="37">
        <f>IF(M24=Year_Open_to_Traffic?,Calculations!$J$5,Calculations!R23+(Calculations!R23*Calculations!O24*Q24))</f>
        <v>5967906.185140172</v>
      </c>
      <c r="S24" s="54">
        <f t="shared" si="0"/>
        <v>1</v>
      </c>
      <c r="T24" s="37">
        <f t="shared" si="5"/>
        <v>5967.9061851401721</v>
      </c>
      <c r="U24" s="142">
        <f>T24/(1+Real_Discount_Rate)^(Calculations!M24-'Assumed Values'!$C$5)</f>
        <v>1542.2203652506425</v>
      </c>
    </row>
    <row r="25" spans="1:21" ht="15.75" x14ac:dyDescent="0.25">
      <c r="A25" s="182" t="s">
        <v>99</v>
      </c>
      <c r="B25" s="182"/>
      <c r="D25" s="159" t="s">
        <v>89</v>
      </c>
      <c r="E25" s="159" t="s">
        <v>94</v>
      </c>
      <c r="F25" s="159" t="s">
        <v>93</v>
      </c>
      <c r="G25" s="159" t="s">
        <v>92</v>
      </c>
      <c r="H25" s="159" t="s">
        <v>91</v>
      </c>
      <c r="I25" s="159" t="s">
        <v>90</v>
      </c>
      <c r="J25" s="183" t="s">
        <v>100</v>
      </c>
      <c r="L25" s="136"/>
      <c r="M25" s="144">
        <f t="shared" si="1"/>
        <v>2039</v>
      </c>
      <c r="N25" s="145">
        <f t="shared" si="6"/>
        <v>58256.14970535491</v>
      </c>
      <c r="O25" s="146">
        <f t="shared" si="7"/>
        <v>6.4749328116577853E-3</v>
      </c>
      <c r="P25" s="147">
        <f t="shared" si="8"/>
        <v>1.1474296292244577</v>
      </c>
      <c r="Q25" s="148">
        <f t="shared" si="4"/>
        <v>0</v>
      </c>
      <c r="R25" s="37">
        <f>IF(M25=Year_Open_to_Traffic?,Calculations!$J$5,Calculations!R24+(Calculations!R24*Calculations!O25*Q25))</f>
        <v>5967906.185140172</v>
      </c>
      <c r="S25" s="54">
        <f t="shared" si="0"/>
        <v>1</v>
      </c>
      <c r="T25" s="37">
        <f t="shared" si="5"/>
        <v>5967.9061851401721</v>
      </c>
      <c r="U25" s="142">
        <f>T25/(1+Real_Discount_Rate)^(Calculations!M25-'Assumed Values'!$C$5)</f>
        <v>1441.327444159479</v>
      </c>
    </row>
    <row r="26" spans="1:21" ht="15.75" x14ac:dyDescent="0.25">
      <c r="A26" s="182"/>
      <c r="B26" s="182"/>
      <c r="D26" s="160">
        <f>Calculations!E17</f>
        <v>1.3028229783061627</v>
      </c>
      <c r="E26" s="160">
        <f>Calculations!E18</f>
        <v>6.5855600225992168</v>
      </c>
      <c r="F26" s="160">
        <f>Calculations!E19</f>
        <v>37.155670810338009</v>
      </c>
      <c r="G26" s="160">
        <f>Calculations!E20</f>
        <v>92.756793400630059</v>
      </c>
      <c r="H26" s="160">
        <f>Calculations!E21</f>
        <v>719.23393181083895</v>
      </c>
      <c r="I26" s="160">
        <f>Calculations!E22</f>
        <v>62.409423315633916</v>
      </c>
      <c r="J26" s="183"/>
      <c r="L26" s="136"/>
      <c r="M26" s="137">
        <f t="shared" si="1"/>
        <v>2040</v>
      </c>
      <c r="N26" s="145">
        <f t="shared" si="6"/>
        <v>58633.35436056296</v>
      </c>
      <c r="O26" s="146">
        <f t="shared" si="7"/>
        <v>6.4749328116577853E-3</v>
      </c>
      <c r="P26" s="147">
        <f t="shared" si="8"/>
        <v>1.1548591589797914</v>
      </c>
      <c r="Q26" s="148">
        <f t="shared" si="4"/>
        <v>0</v>
      </c>
      <c r="R26" s="37">
        <f>IF(M26=Year_Open_to_Traffic?,Calculations!$J$5,Calculations!R25+(Calculations!R25*Calculations!O26*Q26))</f>
        <v>5967906.185140172</v>
      </c>
      <c r="S26" s="54">
        <f t="shared" si="0"/>
        <v>1</v>
      </c>
      <c r="T26" s="37">
        <f t="shared" si="5"/>
        <v>5967.9061851401721</v>
      </c>
      <c r="U26" s="142">
        <f>T26/(1+Real_Discount_Rate)^(Calculations!M26-'Assumed Values'!$C$5)</f>
        <v>1347.0349945415692</v>
      </c>
    </row>
    <row r="27" spans="1:21" ht="15.75" x14ac:dyDescent="0.25">
      <c r="A27" s="161" t="s">
        <v>95</v>
      </c>
      <c r="B27" s="162" t="s">
        <v>96</v>
      </c>
      <c r="D27" s="163">
        <f>D$26*'Value of Statistical Life'!D17*Appropriate_Crash_Reduction_Factor</f>
        <v>0</v>
      </c>
      <c r="E27" s="163">
        <f>E$26*'Value of Statistical Life'!E17*Appropriate_Crash_Reduction_Factor</f>
        <v>3.3951854696510256E-2</v>
      </c>
      <c r="F27" s="163">
        <f>F$26*'Value of Statistical Life'!F17*Appropriate_Crash_Reduction_Factor</f>
        <v>0.46520757638083698</v>
      </c>
      <c r="G27" s="163">
        <f>G$26*'Value of Statistical Life'!G17*Appropriate_Crash_Reduction_Factor</f>
        <v>3.2609114503958496</v>
      </c>
      <c r="H27" s="163">
        <f>H$26*'Value of Statistical Life'!H17*Appropriate_Crash_Reduction_Factor</f>
        <v>99.830388969276257</v>
      </c>
      <c r="I27" s="163">
        <f>I$26*'Value of Statistical Life'!I17*Appropriate_Crash_Reduction_Factor</f>
        <v>4.0886909591004397</v>
      </c>
      <c r="J27" s="163">
        <f t="shared" ref="J27:J33" si="9">SUM(D27:I27)</f>
        <v>107.67915080984989</v>
      </c>
      <c r="K27" s="164"/>
      <c r="L27" s="136"/>
      <c r="M27" s="144">
        <f t="shared" si="1"/>
        <v>2041</v>
      </c>
      <c r="N27" s="145">
        <f t="shared" si="6"/>
        <v>59013.001390569727</v>
      </c>
      <c r="O27" s="146">
        <f t="shared" si="7"/>
        <v>6.4749328116577853E-3</v>
      </c>
      <c r="P27" s="147">
        <f t="shared" si="8"/>
        <v>1.1623367944411132</v>
      </c>
      <c r="Q27" s="148">
        <f t="shared" si="4"/>
        <v>0</v>
      </c>
      <c r="R27" s="37">
        <f>IF(M27=Year_Open_to_Traffic?,Calculations!$J$5,Calculations!R26+(Calculations!R26*Calculations!O27*Q27))</f>
        <v>5967906.185140172</v>
      </c>
      <c r="S27" s="54">
        <f t="shared" si="0"/>
        <v>1</v>
      </c>
      <c r="T27" s="37">
        <f t="shared" si="5"/>
        <v>5967.9061851401721</v>
      </c>
      <c r="U27" s="142">
        <f>T27/(1+Real_Discount_Rate)^(Calculations!M27-'Assumed Values'!$C$5)</f>
        <v>1258.9112098519338</v>
      </c>
    </row>
    <row r="28" spans="1:21" ht="15.75" x14ac:dyDescent="0.25">
      <c r="A28" s="161" t="s">
        <v>61</v>
      </c>
      <c r="B28" s="165" t="s">
        <v>62</v>
      </c>
      <c r="D28" s="163">
        <f>D$26*'Value of Statistical Life'!D18*Appropriate_Crash_Reduction_Factor</f>
        <v>0</v>
      </c>
      <c r="E28" s="163">
        <f>E$26*'Value of Statistical Life'!E18*Appropriate_Crash_Reduction_Factor</f>
        <v>0.54774407653965596</v>
      </c>
      <c r="F28" s="163">
        <f>F$26*'Value of Statistical Life'!F18*Appropriate_Crash_Reduction_Factor</f>
        <v>4.282729818118205</v>
      </c>
      <c r="G28" s="163">
        <f>G$26*'Value of Statistical Life'!G18*Appropriate_Crash_Reduction_Factor</f>
        <v>9.5928148166997591</v>
      </c>
      <c r="H28" s="163">
        <f>H$26*'Value of Statistical Life'!H18*Appropriate_Crash_Reduction_Factor</f>
        <v>7.8292209647268871</v>
      </c>
      <c r="I28" s="163">
        <f>I$26*'Value of Statistical Life'!I18*Appropriate_Crash_Reduction_Factor</f>
        <v>3.9073603796568657</v>
      </c>
      <c r="J28" s="163">
        <f t="shared" si="9"/>
        <v>26.159870055741372</v>
      </c>
      <c r="K28" s="164"/>
      <c r="L28" s="136"/>
      <c r="M28" s="137">
        <f t="shared" si="1"/>
        <v>2042</v>
      </c>
      <c r="N28" s="145">
        <f t="shared" si="6"/>
        <v>59395.106609587936</v>
      </c>
      <c r="O28" s="146">
        <f t="shared" si="7"/>
        <v>6.4749328116577853E-3</v>
      </c>
      <c r="P28" s="147">
        <f t="shared" si="8"/>
        <v>1.1698628470896371</v>
      </c>
      <c r="Q28" s="148">
        <f t="shared" si="4"/>
        <v>0</v>
      </c>
      <c r="R28" s="37">
        <f>IF(M28=Year_Open_to_Traffic?,Calculations!$J$5,Calculations!R27+(Calculations!R27*Calculations!O28*Q28))</f>
        <v>5967906.185140172</v>
      </c>
      <c r="S28" s="54">
        <f t="shared" si="0"/>
        <v>1</v>
      </c>
      <c r="T28" s="37">
        <f t="shared" si="5"/>
        <v>5967.9061851401721</v>
      </c>
      <c r="U28" s="142">
        <f>T28/(1+Real_Discount_Rate)^(Calculations!M28-'Assumed Values'!$C$5)</f>
        <v>1176.5525325719007</v>
      </c>
    </row>
    <row r="29" spans="1:21" ht="15.75" x14ac:dyDescent="0.25">
      <c r="A29" s="161" t="s">
        <v>63</v>
      </c>
      <c r="B29" s="165" t="s">
        <v>64</v>
      </c>
      <c r="D29" s="163">
        <f>D$26*'Value of Statistical Life'!D19*Appropriate_Crash_Reduction_Factor</f>
        <v>0</v>
      </c>
      <c r="E29" s="163">
        <f>E$26*'Value of Statistical Life'!E19*Appropriate_Crash_Reduction_Factor</f>
        <v>0.2065363334287566</v>
      </c>
      <c r="F29" s="163">
        <f>F$26*'Value of Statistical Life'!F19*Appropriate_Crash_Reduction_Factor</f>
        <v>0.60738375073659545</v>
      </c>
      <c r="G29" s="163">
        <f>G$26*'Value of Statistical Life'!G19*Appropriate_Crash_Reduction_Factor</f>
        <v>0.88921299993513991</v>
      </c>
      <c r="H29" s="163">
        <f>H$26*'Value of Statistical Life'!H19*Appropriate_Crash_Reduction_Factor</f>
        <v>0.21361247774781916</v>
      </c>
      <c r="I29" s="163">
        <f>I$26*'Value of Statistical Life'!I19*Appropriate_Crash_Reduction_Factor</f>
        <v>0.83054460548445608</v>
      </c>
      <c r="J29" s="163">
        <f t="shared" si="9"/>
        <v>2.7472901673327672</v>
      </c>
      <c r="K29" s="164"/>
      <c r="L29" s="136"/>
      <c r="M29" s="144">
        <f t="shared" si="1"/>
        <v>2043</v>
      </c>
      <c r="N29" s="145">
        <f t="shared" si="6"/>
        <v>59779.685934226269</v>
      </c>
      <c r="O29" s="146">
        <f t="shared" si="7"/>
        <v>6.4749328116577853E-3</v>
      </c>
      <c r="P29" s="147">
        <f t="shared" si="8"/>
        <v>1.1774376304233971</v>
      </c>
      <c r="Q29" s="148">
        <f t="shared" si="4"/>
        <v>0</v>
      </c>
      <c r="R29" s="37">
        <f>IF(M29=Year_Open_to_Traffic?,Calculations!$J$5,Calculations!R28+(Calculations!R28*Calculations!O29*Q29))</f>
        <v>5967906.185140172</v>
      </c>
      <c r="S29" s="54">
        <f t="shared" si="0"/>
        <v>1</v>
      </c>
      <c r="T29" s="37">
        <f t="shared" si="5"/>
        <v>5967.9061851401721</v>
      </c>
      <c r="U29" s="142">
        <f>T29/(1+Real_Discount_Rate)^(Calculations!M29-'Assumed Values'!$C$5)</f>
        <v>1099.5818061419632</v>
      </c>
    </row>
    <row r="30" spans="1:21" ht="15.75" x14ac:dyDescent="0.25">
      <c r="A30" s="161" t="s">
        <v>65</v>
      </c>
      <c r="B30" s="165" t="s">
        <v>66</v>
      </c>
      <c r="D30" s="163">
        <f>D$26*'Value of Statistical Life'!D20*Appropriate_Crash_Reduction_Factor</f>
        <v>0</v>
      </c>
      <c r="E30" s="163">
        <f>E$26*'Value of Statistical Life'!E20*Appropriate_Crash_Reduction_Factor</f>
        <v>0.14261359506939733</v>
      </c>
      <c r="F30" s="163">
        <f>F$26*'Value of Statistical Life'!F20*Appropriate_Crash_Reduction_Factor</f>
        <v>0.17784561833368287</v>
      </c>
      <c r="G30" s="163">
        <f>G$26*'Value of Statistical Life'!G20*Appropriate_Crash_Reduction_Factor</f>
        <v>0.14901378859811221</v>
      </c>
      <c r="H30" s="163">
        <f>H$26*'Value of Statistical Life'!H20*Appropriate_Crash_Reduction_Factor</f>
        <v>8.6308071817300675E-3</v>
      </c>
      <c r="I30" s="163">
        <f>I$26*'Value of Statistical Life'!I20*Appropriate_Crash_Reduction_Factor</f>
        <v>0.45093928816711282</v>
      </c>
      <c r="J30" s="163">
        <f t="shared" si="9"/>
        <v>0.92904309735003532</v>
      </c>
      <c r="K30" s="164"/>
      <c r="L30" s="136"/>
      <c r="M30" s="144">
        <f t="shared" si="1"/>
        <v>2044</v>
      </c>
      <c r="N30" s="145">
        <f t="shared" si="6"/>
        <v>60166.755384152391</v>
      </c>
      <c r="O30" s="146">
        <f t="shared" si="7"/>
        <v>6.4749328116577853E-3</v>
      </c>
      <c r="P30" s="147">
        <f t="shared" si="8"/>
        <v>1.1850614599703062</v>
      </c>
      <c r="Q30" s="148">
        <f t="shared" si="4"/>
        <v>0</v>
      </c>
      <c r="R30" s="37">
        <f>IF(M30=Year_Open_to_Traffic?,Calculations!$J$5,Calculations!R29+(Calculations!R29*Calculations!O30*Q30))</f>
        <v>5967906.185140172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3.9375063375120721E-2</v>
      </c>
      <c r="F31" s="163">
        <f>F$26*'Value of Statistical Life'!F21*Appropriate_Crash_Reduction_Factor</f>
        <v>3.455477385361435E-2</v>
      </c>
      <c r="G31" s="163">
        <f>G$26*'Value of Statistical Life'!G21*Appropriate_Crash_Reduction_Factor</f>
        <v>1.9757196994334199E-2</v>
      </c>
      <c r="H31" s="163">
        <f>H$26*'Value of Statistical Life'!H21*Appropriate_Crash_Reduction_Factor</f>
        <v>0</v>
      </c>
      <c r="I31" s="163">
        <f>I$26*'Value of Statistical Life'!I21*Appropriate_Crash_Reduction_Factor</f>
        <v>5.7759921278619182E-2</v>
      </c>
      <c r="J31" s="163">
        <f t="shared" si="9"/>
        <v>0.15144695550168846</v>
      </c>
      <c r="K31" s="164"/>
      <c r="L31" s="136"/>
      <c r="M31" s="144">
        <f t="shared" si="1"/>
        <v>2045</v>
      </c>
      <c r="N31" s="145">
        <f t="shared" si="6"/>
        <v>60556.331082760225</v>
      </c>
      <c r="O31" s="146">
        <f t="shared" si="7"/>
        <v>6.4749328116577853E-3</v>
      </c>
      <c r="P31" s="147">
        <f t="shared" si="8"/>
        <v>1.192734653301299</v>
      </c>
      <c r="Q31" s="148">
        <f t="shared" si="4"/>
        <v>0</v>
      </c>
      <c r="R31" s="37">
        <f>IF(M31=Year_Open_to_Traffic?,Calculations!$J$5,Calculations!R30+(Calculations!R30*Calculations!O31*Q31))</f>
        <v>5967906.185140172</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1.7613080280441604E-2</v>
      </c>
      <c r="F32" s="163">
        <f>F$26*'Value of Statistical Life'!F22*Appropriate_Crash_Reduction_Factor</f>
        <v>5.6290841277662085E-3</v>
      </c>
      <c r="G32" s="163">
        <f>G$26*'Value of Statistical Life'!G22*Appropriate_Crash_Reduction_Factor</f>
        <v>1.8087574713122859E-3</v>
      </c>
      <c r="H32" s="163">
        <f>H$26*'Value of Statistical Life'!H22*Appropriate_Crash_Reduction_Factor</f>
        <v>3.2365526931487751E-3</v>
      </c>
      <c r="I32" s="163">
        <f>I$26*'Value of Statistical Life'!I22*Appropriate_Crash_Reduction_Factor</f>
        <v>2.6118343657592795E-2</v>
      </c>
      <c r="J32" s="163">
        <f t="shared" si="9"/>
        <v>5.4405818230261666E-2</v>
      </c>
      <c r="K32" s="164"/>
      <c r="L32" s="136"/>
      <c r="M32" s="144">
        <f t="shared" si="1"/>
        <v>2046</v>
      </c>
      <c r="N32" s="145">
        <f t="shared" si="6"/>
        <v>60948.429257841599</v>
      </c>
      <c r="O32" s="146">
        <f t="shared" si="7"/>
        <v>6.4749328116577853E-3</v>
      </c>
      <c r="P32" s="147">
        <f t="shared" si="8"/>
        <v>1.2004575300435609</v>
      </c>
      <c r="Q32" s="148">
        <f t="shared" si="4"/>
        <v>0</v>
      </c>
      <c r="R32" s="37">
        <f>IF(M32=Year_Open_to_Traffic?,Calculations!$J$5,Calculations!R31+(Calculations!R31*Calculations!O32*Q32))</f>
        <v>5967906.185140172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0.19542344674592441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0.19542344674592441</v>
      </c>
      <c r="K33" s="164"/>
      <c r="L33" s="136"/>
      <c r="M33" s="144">
        <f t="shared" si="1"/>
        <v>2047</v>
      </c>
      <c r="N33" s="145">
        <f t="shared" si="6"/>
        <v>61343.066242262197</v>
      </c>
      <c r="O33" s="146">
        <f t="shared" si="7"/>
        <v>6.4749328116577853E-3</v>
      </c>
      <c r="P33" s="147">
        <f t="shared" si="8"/>
        <v>1.2082304118938416</v>
      </c>
      <c r="Q33" s="148">
        <f t="shared" si="4"/>
        <v>0</v>
      </c>
      <c r="R33" s="37">
        <f>IF(M33=Year_Open_to_Traffic?,Calculations!$J$5,Calculations!R32+(Calculations!R32*Calculations!O33*Q33))</f>
        <v>5967906.185140172</v>
      </c>
      <c r="S33" s="54">
        <f t="shared" si="0"/>
        <v>0</v>
      </c>
      <c r="T33" s="37">
        <f t="shared" si="5"/>
        <v>0</v>
      </c>
      <c r="U33" s="142">
        <f>T33/(1+Real_Discount_Rate)^(Calculations!M33-'Assumed Values'!$C$5)</f>
        <v>0</v>
      </c>
    </row>
    <row r="34" spans="1:21" ht="15.75" x14ac:dyDescent="0.25">
      <c r="J34" s="166"/>
      <c r="L34" s="136"/>
      <c r="M34" s="144">
        <f t="shared" si="1"/>
        <v>2048</v>
      </c>
      <c r="N34" s="145">
        <f t="shared" si="6"/>
        <v>61740.258474641916</v>
      </c>
      <c r="O34" s="146">
        <f t="shared" si="7"/>
        <v>6.4749328116577853E-3</v>
      </c>
      <c r="P34" s="147">
        <f t="shared" si="8"/>
        <v>1.2160536226318559</v>
      </c>
      <c r="Q34" s="148">
        <f t="shared" si="4"/>
        <v>0</v>
      </c>
      <c r="R34" s="37">
        <f>IF(M34=Year_Open_to_Traffic?,Calculations!$J$5,Calculations!R33+(Calculations!R33*Calculations!O34*Q34))</f>
        <v>5967906.185140172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62140.022500039609</v>
      </c>
      <c r="O35" s="146">
        <f t="shared" si="7"/>
        <v>6.4749328116577853E-3</v>
      </c>
      <c r="P35" s="147">
        <f t="shared" si="8"/>
        <v>1.2239274881337703</v>
      </c>
      <c r="Q35" s="148">
        <f t="shared" si="4"/>
        <v>0</v>
      </c>
      <c r="R35" s="37">
        <f>IF(M35=Year_Open_to_Traffic?,Calculations!$J$5,Calculations!R34+(Calculations!R34*Calculations!O35*Q35))</f>
        <v>5967906.185140172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62542.374970642268</v>
      </c>
      <c r="O36" s="146">
        <f t="shared" si="7"/>
        <v>6.4749328116577853E-3</v>
      </c>
      <c r="P36" s="147">
        <f t="shared" si="8"/>
        <v>1.2318523363857776</v>
      </c>
      <c r="Q36" s="148">
        <f t="shared" si="4"/>
        <v>0</v>
      </c>
      <c r="R36" s="37">
        <f>IF(M36=Year_Open_to_Traffic?,Calculations!$J$5,Calculations!R35+(Calculations!R35*Calculations!O36*Q36))</f>
        <v>5967906.185140172</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45077.897490258307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6" t="s">
        <v>73</v>
      </c>
      <c r="C12" s="187"/>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8"/>
      <c r="T12" s="188"/>
      <c r="U12" s="188"/>
      <c r="V12" s="188"/>
      <c r="W12" s="188"/>
      <c r="X12" s="188"/>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8"/>
      <c r="T26" s="188"/>
      <c r="U26" s="188"/>
      <c r="V26" s="188"/>
      <c r="W26" s="188"/>
      <c r="X26" s="188"/>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9" t="s">
        <v>97</v>
      </c>
      <c r="C24" s="189"/>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I18" sqref="I1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2018-10-24T21:48:40Z</dcterms:modified>
</cp:coreProperties>
</file>