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36_HW_SH288/"/>
    </mc:Choice>
  </mc:AlternateContent>
  <xr:revisionPtr revIDLastSave="0" documentId="10_ncr:100000_{BC61751C-5AF4-4F49-A8BE-7D2DF448DAF0}" xr6:coauthVersionLast="31" xr6:coauthVersionMax="40"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17"/>
</workbook>
</file>

<file path=xl/calcChain.xml><?xml version="1.0" encoding="utf-8"?>
<calcChain xmlns="http://schemas.openxmlformats.org/spreadsheetml/2006/main">
  <c r="B19" i="11" l="1"/>
  <c r="G11" i="19"/>
  <c r="G31" i="19"/>
  <c r="G4" i="19"/>
  <c r="C11" i="19"/>
  <c r="C10" i="19"/>
  <c r="H21" i="19" s="1"/>
  <c r="C9" i="19"/>
  <c r="H7" i="19" s="1"/>
  <c r="H29" i="19"/>
  <c r="H33" i="19"/>
  <c r="H23"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I8" i="19"/>
  <c r="I26" i="19"/>
  <c r="I27" i="19"/>
  <c r="I12" i="19"/>
  <c r="I21" i="19"/>
  <c r="I5" i="19"/>
  <c r="I6" i="19"/>
  <c r="I10" i="19"/>
  <c r="I11" i="19"/>
  <c r="I24" i="19"/>
  <c r="I7" i="19"/>
  <c r="I17" i="19"/>
  <c r="I36" i="19"/>
  <c r="I33" i="19"/>
  <c r="I28" i="19"/>
  <c r="I15" i="19"/>
  <c r="I35" i="19"/>
  <c r="I34" i="19"/>
  <c r="I23" i="19"/>
  <c r="I13" i="19"/>
  <c r="I31" i="19"/>
  <c r="I4" i="19"/>
  <c r="I14" i="19"/>
  <c r="I30" i="19"/>
  <c r="I18" i="19"/>
  <c r="I19" i="19"/>
  <c r="I9" i="19"/>
  <c r="I29" i="19"/>
  <c r="I16" i="19"/>
  <c r="I20" i="19"/>
  <c r="H31" i="19" l="1"/>
  <c r="H17" i="19"/>
  <c r="H35" i="19"/>
  <c r="H14" i="19"/>
  <c r="H9" i="19"/>
  <c r="H32" i="19"/>
  <c r="G32" i="19" s="1"/>
  <c r="G33" i="19" s="1"/>
  <c r="H34" i="19"/>
  <c r="H27" i="19"/>
  <c r="H19" i="19"/>
  <c r="H10" i="19"/>
  <c r="H16" i="19"/>
  <c r="H18" i="19"/>
  <c r="H36" i="19"/>
  <c r="H8" i="19"/>
  <c r="H22" i="19"/>
  <c r="H24" i="19"/>
  <c r="H26" i="19"/>
  <c r="H20" i="19"/>
  <c r="H25" i="19"/>
  <c r="H30" i="19"/>
  <c r="H13" i="19"/>
  <c r="H28" i="19"/>
  <c r="H15" i="19"/>
  <c r="H12" i="19"/>
  <c r="G12" i="19" s="1"/>
  <c r="H6" i="19"/>
  <c r="H11" i="19"/>
  <c r="H5" i="19"/>
  <c r="G5" i="19" s="1"/>
  <c r="J4" i="19"/>
  <c r="K4" i="19"/>
  <c r="T4" i="19"/>
  <c r="N11" i="19"/>
  <c r="O11" i="19" s="1"/>
  <c r="P11" i="19" s="1"/>
  <c r="Q11" i="19" s="1"/>
  <c r="N31" i="19"/>
  <c r="O31" i="19" s="1"/>
  <c r="P31" i="19" s="1"/>
  <c r="Q31" i="19" s="1"/>
  <c r="J11" i="19"/>
  <c r="N12" i="19"/>
  <c r="O12" i="19" s="1"/>
  <c r="P12" i="19" s="1"/>
  <c r="Q12" i="19" s="1"/>
  <c r="N4" i="19"/>
  <c r="J31" i="19"/>
  <c r="G34" i="19" l="1"/>
  <c r="G35" i="19" s="1"/>
  <c r="G36" i="19" s="1"/>
  <c r="J36" i="19" s="1"/>
  <c r="T36" i="19" s="1"/>
  <c r="U36" i="19" s="1"/>
  <c r="N33" i="19"/>
  <c r="O33" i="19" s="1"/>
  <c r="P33" i="19" s="1"/>
  <c r="Q33" i="19" s="1"/>
  <c r="J33" i="19"/>
  <c r="G13" i="19"/>
  <c r="J32" i="19"/>
  <c r="N32" i="19"/>
  <c r="O32" i="19" s="1"/>
  <c r="P32" i="19" s="1"/>
  <c r="Q32" i="19" s="1"/>
  <c r="J12" i="19"/>
  <c r="G6" i="19"/>
  <c r="J5" i="19"/>
  <c r="T5" i="19" s="1"/>
  <c r="U5" i="19" s="1"/>
  <c r="N5" i="19"/>
  <c r="O5" i="19" s="1"/>
  <c r="P5" i="19" s="1"/>
  <c r="Q5" i="19" s="1"/>
  <c r="T11" i="19"/>
  <c r="U11" i="19" s="1"/>
  <c r="K11" i="19"/>
  <c r="L11" i="19" s="1"/>
  <c r="M11" i="19" s="1"/>
  <c r="K12" i="19"/>
  <c r="L12" i="19" s="1"/>
  <c r="M12" i="19" s="1"/>
  <c r="T12" i="19"/>
  <c r="U12" i="19" s="1"/>
  <c r="U4" i="19"/>
  <c r="K31" i="19"/>
  <c r="L31" i="19" s="1"/>
  <c r="M31" i="19" s="1"/>
  <c r="T31" i="19"/>
  <c r="U31" i="19" s="1"/>
  <c r="L4" i="19"/>
  <c r="O4" i="19"/>
  <c r="T33" i="19"/>
  <c r="U33" i="19" s="1"/>
  <c r="K33" i="19"/>
  <c r="L33" i="19" s="1"/>
  <c r="M33" i="19" s="1"/>
  <c r="K32" i="19"/>
  <c r="L32" i="19" s="1"/>
  <c r="M32" i="19" s="1"/>
  <c r="T32" i="19"/>
  <c r="U32" i="19" s="1"/>
  <c r="K36" i="19" l="1"/>
  <c r="L36" i="19" s="1"/>
  <c r="M36" i="19" s="1"/>
  <c r="J34" i="19"/>
  <c r="K34" i="19" s="1"/>
  <c r="L34" i="19" s="1"/>
  <c r="M34" i="19" s="1"/>
  <c r="J35" i="19"/>
  <c r="K35" i="19" s="1"/>
  <c r="L35" i="19" s="1"/>
  <c r="M35" i="19" s="1"/>
  <c r="N35" i="19"/>
  <c r="O35" i="19" s="1"/>
  <c r="P35" i="19" s="1"/>
  <c r="Q35" i="19" s="1"/>
  <c r="N36" i="19"/>
  <c r="O36" i="19" s="1"/>
  <c r="P36" i="19" s="1"/>
  <c r="Q36" i="19" s="1"/>
  <c r="N34" i="19"/>
  <c r="O34" i="19" s="1"/>
  <c r="P34" i="19" s="1"/>
  <c r="Q34" i="19" s="1"/>
  <c r="T35" i="19"/>
  <c r="U35" i="19" s="1"/>
  <c r="T34" i="19"/>
  <c r="U34" i="19" s="1"/>
  <c r="G7" i="19"/>
  <c r="N6" i="19"/>
  <c r="O6" i="19" s="1"/>
  <c r="P6" i="19" s="1"/>
  <c r="Q6" i="19" s="1"/>
  <c r="J6" i="19"/>
  <c r="G14" i="19"/>
  <c r="N13" i="19"/>
  <c r="O13" i="19" s="1"/>
  <c r="P13" i="19" s="1"/>
  <c r="Q13" i="19" s="1"/>
  <c r="J13" i="19"/>
  <c r="K5" i="19"/>
  <c r="L5" i="19" s="1"/>
  <c r="M5" i="19" s="1"/>
  <c r="M4" i="19"/>
  <c r="P4" i="19"/>
  <c r="G8" i="19" l="1"/>
  <c r="N7" i="19"/>
  <c r="O7" i="19" s="1"/>
  <c r="P7" i="19" s="1"/>
  <c r="Q7" i="19" s="1"/>
  <c r="J7" i="19"/>
  <c r="K13" i="19"/>
  <c r="L13" i="19" s="1"/>
  <c r="M13" i="19" s="1"/>
  <c r="T13" i="19"/>
  <c r="U13" i="19" s="1"/>
  <c r="G15" i="19"/>
  <c r="N14" i="19"/>
  <c r="O14" i="19" s="1"/>
  <c r="P14" i="19" s="1"/>
  <c r="Q14" i="19" s="1"/>
  <c r="J14" i="19"/>
  <c r="K6" i="19"/>
  <c r="T6" i="19"/>
  <c r="Q4" i="19"/>
  <c r="G16" i="19" l="1"/>
  <c r="N15" i="19"/>
  <c r="O15" i="19" s="1"/>
  <c r="P15" i="19" s="1"/>
  <c r="Q15" i="19" s="1"/>
  <c r="J15" i="19"/>
  <c r="T14" i="19"/>
  <c r="U14" i="19" s="1"/>
  <c r="K14" i="19"/>
  <c r="L14" i="19" s="1"/>
  <c r="M14" i="19" s="1"/>
  <c r="K7" i="19"/>
  <c r="L7" i="19" s="1"/>
  <c r="M7" i="19" s="1"/>
  <c r="T7" i="19"/>
  <c r="U7" i="19" s="1"/>
  <c r="U6" i="19"/>
  <c r="L6" i="19"/>
  <c r="G9" i="19"/>
  <c r="J8" i="19"/>
  <c r="N8" i="19"/>
  <c r="O8" i="19" s="1"/>
  <c r="G10" i="19" l="1"/>
  <c r="J9" i="19"/>
  <c r="N9" i="19"/>
  <c r="T15" i="19"/>
  <c r="U15" i="19" s="1"/>
  <c r="K15" i="19"/>
  <c r="L15" i="19" s="1"/>
  <c r="M15" i="19" s="1"/>
  <c r="K8" i="19"/>
  <c r="T8" i="19"/>
  <c r="M6" i="19"/>
  <c r="P8" i="19"/>
  <c r="G17" i="19"/>
  <c r="J16" i="19"/>
  <c r="N16" i="19"/>
  <c r="O16" i="19" s="1"/>
  <c r="P16" i="19" s="1"/>
  <c r="Q16" i="19" s="1"/>
  <c r="U8" i="19" l="1"/>
  <c r="L8" i="19"/>
  <c r="K16" i="19"/>
  <c r="L16" i="19" s="1"/>
  <c r="M16" i="19" s="1"/>
  <c r="T16" i="19"/>
  <c r="U16" i="19" s="1"/>
  <c r="G18" i="19"/>
  <c r="N17" i="19"/>
  <c r="O17" i="19" s="1"/>
  <c r="P17" i="19" s="1"/>
  <c r="Q17" i="19" s="1"/>
  <c r="J17" i="19"/>
  <c r="Q8" i="19"/>
  <c r="O9" i="19"/>
  <c r="K9" i="19"/>
  <c r="L9" i="19" s="1"/>
  <c r="M9" i="19" s="1"/>
  <c r="T9" i="19"/>
  <c r="U9" i="19" s="1"/>
  <c r="N10" i="19"/>
  <c r="O10" i="19" s="1"/>
  <c r="P10" i="19" s="1"/>
  <c r="Q10" i="19" s="1"/>
  <c r="J10" i="19"/>
  <c r="P9" i="19" l="1"/>
  <c r="M8" i="19"/>
  <c r="G19" i="19"/>
  <c r="J18" i="19"/>
  <c r="N18" i="19"/>
  <c r="O18" i="19" s="1"/>
  <c r="P18" i="19" s="1"/>
  <c r="Q18" i="19" s="1"/>
  <c r="T10" i="19"/>
  <c r="U10" i="19" s="1"/>
  <c r="K10" i="19"/>
  <c r="L10" i="19" s="1"/>
  <c r="M10" i="19" s="1"/>
  <c r="T17" i="19"/>
  <c r="U17" i="19" s="1"/>
  <c r="K17" i="19"/>
  <c r="L17" i="19" s="1"/>
  <c r="M17" i="19" s="1"/>
  <c r="G20" i="19" l="1"/>
  <c r="N19" i="19"/>
  <c r="O19" i="19" s="1"/>
  <c r="P19" i="19" s="1"/>
  <c r="Q19" i="19" s="1"/>
  <c r="J19" i="19"/>
  <c r="Q9" i="19"/>
  <c r="K18" i="19"/>
  <c r="L18" i="19" s="1"/>
  <c r="M18" i="19" s="1"/>
  <c r="T18" i="19"/>
  <c r="U18" i="19" s="1"/>
  <c r="T19" i="19" l="1"/>
  <c r="K19" i="19"/>
  <c r="G21" i="19"/>
  <c r="J20" i="19"/>
  <c r="N20" i="19"/>
  <c r="O20" i="19" s="1"/>
  <c r="T20" i="19" l="1"/>
  <c r="U20" i="19" s="1"/>
  <c r="K20" i="19"/>
  <c r="L20" i="19" s="1"/>
  <c r="M20" i="19" s="1"/>
  <c r="P20" i="19"/>
  <c r="G22" i="19"/>
  <c r="J21" i="19"/>
  <c r="N21" i="19"/>
  <c r="O21" i="19" s="1"/>
  <c r="P21" i="19" s="1"/>
  <c r="Q21" i="19" s="1"/>
  <c r="L19" i="19"/>
  <c r="U19" i="19"/>
  <c r="M19" i="19" l="1"/>
  <c r="Q20" i="19"/>
  <c r="G23" i="19"/>
  <c r="J22" i="19"/>
  <c r="N22" i="19"/>
  <c r="O22" i="19" s="1"/>
  <c r="P22" i="19" s="1"/>
  <c r="Q22" i="19" s="1"/>
  <c r="K21" i="19"/>
  <c r="L21" i="19" s="1"/>
  <c r="M21" i="19" s="1"/>
  <c r="T21" i="19"/>
  <c r="U21" i="19" s="1"/>
  <c r="K22" i="19" l="1"/>
  <c r="L22" i="19" s="1"/>
  <c r="M22" i="19" s="1"/>
  <c r="T22" i="19"/>
  <c r="U22" i="19" s="1"/>
  <c r="G24" i="19"/>
  <c r="N23" i="19"/>
  <c r="O23" i="19" s="1"/>
  <c r="P23" i="19" s="1"/>
  <c r="Q23" i="19" s="1"/>
  <c r="J23" i="19"/>
  <c r="K23" i="19" l="1"/>
  <c r="L23" i="19" s="1"/>
  <c r="M23" i="19" s="1"/>
  <c r="T23" i="19"/>
  <c r="U23" i="19" s="1"/>
  <c r="G25" i="19"/>
  <c r="N24" i="19"/>
  <c r="O24" i="19" s="1"/>
  <c r="P24" i="19" s="1"/>
  <c r="Q24" i="19" s="1"/>
  <c r="J24" i="19"/>
  <c r="T24" i="19" l="1"/>
  <c r="U24" i="19" s="1"/>
  <c r="K24" i="19"/>
  <c r="L24" i="19" s="1"/>
  <c r="M24" i="19" s="1"/>
  <c r="G26" i="19"/>
  <c r="N25" i="19"/>
  <c r="O25" i="19" s="1"/>
  <c r="P25" i="19" s="1"/>
  <c r="Q25" i="19" s="1"/>
  <c r="J25" i="19"/>
  <c r="T25" i="19" l="1"/>
  <c r="U25" i="19" s="1"/>
  <c r="K25" i="19"/>
  <c r="L25" i="19" s="1"/>
  <c r="M25" i="19" s="1"/>
  <c r="G27" i="19"/>
  <c r="J26" i="19"/>
  <c r="N26" i="19"/>
  <c r="O26" i="19" s="1"/>
  <c r="P26" i="19" s="1"/>
  <c r="Q26" i="19" s="1"/>
  <c r="G28" i="19" l="1"/>
  <c r="J27" i="19"/>
  <c r="N27" i="19"/>
  <c r="O27" i="19" s="1"/>
  <c r="P27" i="19" s="1"/>
  <c r="Q27" i="19" s="1"/>
  <c r="K26" i="19"/>
  <c r="L26" i="19" s="1"/>
  <c r="M26" i="19" s="1"/>
  <c r="T26" i="19"/>
  <c r="U26" i="19" s="1"/>
  <c r="T27" i="19" l="1"/>
  <c r="U27" i="19" s="1"/>
  <c r="K27" i="19"/>
  <c r="L27" i="19" s="1"/>
  <c r="M27" i="19" s="1"/>
  <c r="G29" i="19"/>
  <c r="J28" i="19"/>
  <c r="N28" i="19"/>
  <c r="O28" i="19" s="1"/>
  <c r="P28" i="19" s="1"/>
  <c r="Q28" i="19" s="1"/>
  <c r="T28" i="19" l="1"/>
  <c r="U28" i="19" s="1"/>
  <c r="K28" i="19"/>
  <c r="L28" i="19" s="1"/>
  <c r="M28" i="19" s="1"/>
  <c r="G30" i="19"/>
  <c r="N29" i="19"/>
  <c r="O29" i="19" s="1"/>
  <c r="P29" i="19" s="1"/>
  <c r="Q29" i="19" s="1"/>
  <c r="J29" i="19"/>
  <c r="T29" i="19" l="1"/>
  <c r="U29" i="19" s="1"/>
  <c r="K29" i="19"/>
  <c r="L29" i="19" s="1"/>
  <c r="M29" i="19" s="1"/>
  <c r="N30" i="19"/>
  <c r="J30" i="19"/>
  <c r="T30" i="19" l="1"/>
  <c r="K30" i="19"/>
  <c r="J37" i="19"/>
  <c r="O30" i="19"/>
  <c r="N37" i="19"/>
  <c r="P30" i="19" l="1"/>
  <c r="O37" i="19"/>
  <c r="B38" i="11" s="1"/>
  <c r="L30" i="19"/>
  <c r="K37" i="19"/>
  <c r="B37" i="11" s="1"/>
  <c r="U30" i="19"/>
  <c r="U37" i="19" s="1"/>
  <c r="T37" i="19"/>
  <c r="M30" i="19" l="1"/>
  <c r="M37" i="19" s="1"/>
  <c r="B30" i="11" s="1"/>
  <c r="L37" i="19"/>
  <c r="Q30" i="19"/>
  <c r="Q37" i="19" s="1"/>
  <c r="B31" i="11" s="1"/>
  <c r="P37" i="19"/>
  <c r="B34" i="11" l="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<sst xmlns="http://schemas.openxmlformats.org/spreadsheetml/2006/main" count="263" uniqueCount="131">
  <si>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</si>
  <si>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</si>
  <si>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</si>
  <si>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</si>
  <si>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</si>
  <si>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</si>
  <si>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</si>
  <si>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</si>
  <si>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</si>
  <si>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</si>
  <si>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</si>
  <si>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</si>
  <si>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</si>
  <si>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</si>
  <si>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</si>
  <si>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</si>
  <si>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</si>
  <si>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</si>
  <si>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</si>
  <si>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</si>
  <si>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</si>
  <si>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</si>
  <si>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</si>
  <si>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</si>
  <si>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</si>
  <si>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</si>
  <si>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</si>
  <si>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</si>
  <si>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</si>
  <si>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</si>
  <si>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</si>
  <si>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</si>
  <si>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</si>
  <si>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</si>
  <si>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</si>
  <si>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</si>
  <si>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</si>
  <si>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</si>
  <si>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</si>
  <si>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</si>
  <si>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</si>
  <si>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</si>
  <si>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</si>
  <si>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</si>
  <si>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</si>
  <si>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</si>
  <si>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</si>
  <si>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SH 288/Rodeo Palms Pkwy Grade Separation</t>
  </si>
  <si>
    <t>Data entered by the sponsors</t>
  </si>
  <si>
    <t>Application ID Number:</t>
  </si>
  <si>
    <t>Data populated/calculated based on inputs</t>
  </si>
  <si>
    <t>Sponsor ID Number (CSJ, etc.):</t>
  </si>
  <si>
    <t>0598-02-111</t>
  </si>
  <si>
    <t xml:space="preserve">HGAC regional travel demand model data provided by HGAC </t>
  </si>
  <si>
    <t>Project County</t>
  </si>
  <si>
    <t>Brazoria</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</si>
  <si>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</si>
  <si>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</si>
  <si>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</si>
  <si>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</si>
  <si>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</si>
  <si>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</si>
  <si>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</si>
  <si>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</si>
  <si>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</si>
  <si>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</si>
  <si>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</si>
  <si>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</si>
  <si>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</si>
  <si>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</si>
  <si>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</si>
  <si>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</si>
  <si>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</si>
  <si>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</si>
  <si>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</si>
  <si>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</si>
  <si>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</si>
  <si>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</si>
  <si>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</si>
  <si>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</si>
  <si>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</si>
  <si>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</si>
  <si>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</si>
  <si>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</si>
  <si>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</si>
  <si>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</si>
  <si>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</si>
  <si>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</si>
  <si>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</si>
  <si>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</si>
  <si>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</si>
  <si>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</si>
  <si>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</si>
  <si>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</si>
  <si>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</si>
  <si>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</si>
  <si>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</si>
  <si>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</si>
  <si>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</si>
  <si>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</si>
  <si>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</si>
  <si>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</si>
  <si>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</si>
  <si>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</si>
  <si>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</si>
  <si>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</si>
  <si>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</si>
  <si>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</si>
  <si>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</si>
  <si>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</si>
  <si>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</si>
  <si>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</si>
  <si>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</si>
  <si>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</si>
  <si>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Chambers</t>
  </si>
  <si>
    <t>Fort Bend</t>
  </si>
  <si>
    <t>Galveston</t>
  </si>
  <si>
    <t>Harris</t>
  </si>
  <si>
    <t>Liberty</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</si>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</sst>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color rgb="FF00000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DCE6F1"/>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13" borderId="1" xfId="0" applyNumberFormat="1" applyFill="1" applyBorder="1" applyAlignment="1" applyProtection="1">
      <alignment vertical="center"/>
      <protection locked="0"/>
    </xf>
    <xf numFmtId="0" fontId="0" fillId="2" borderId="1" xfId="0" applyFill="1" applyBorder="1" applyAlignment="1" applyProtection="1">
      <alignment horizontal="left" wrapText="1"/>
      <protection locked="0"/>
    </xf>
    <xf numFmtId="3" fontId="10" fillId="16" borderId="1" xfId="0" applyNumberFormat="1" applyFont="1" applyFill="1" applyBorder="1" applyProtection="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v>
      </c>
      <c r="E3" s="7" t="s">
        <v>2</v>
      </c>
      <c r="G3" s="13" t="s">
        <v>3</v>
      </c>
      <c r="H3" s="13"/>
      <c r="I3" s="13" t="s">
        <v>4</v>
      </c>
      <c r="J3" s="13" t="s">
        <v>5</v>
      </c>
    </row>
    <row r="4" spans="1:10" x14ac:dyDescent="0.25">
      <c r="A4" s="4" t="s">
        <v>6</v>
      </c>
      <c r="B4" s="5"/>
      <c r="D4" s="4" t="s">
        <v>7</v>
      </c>
      <c r="E4" s="5">
        <v>2015</v>
      </c>
      <c r="G4" s="11">
        <f>E4</f>
        <v>2015</v>
      </c>
      <c r="H4" s="11">
        <f>IF(G4&lt;2041,1,0)</f>
        <v>1</v>
      </c>
      <c r="I4" s="20">
        <f>IF($G4&lt;($G$4+$E$5),$E$17,0)*H4</f>
        <v>0</v>
      </c>
      <c r="J4" s="28" t="e">
        <f>I4*$B$18*$B$19/10^3</f>
        <v>#REF!</v>
      </c>
    </row>
    <row r="5" spans="1:10" x14ac:dyDescent="0.25">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x14ac:dyDescent="0.25">
      <c r="A6" s="4" t="s">
        <v>10</v>
      </c>
      <c r="B6" s="5">
        <v>1</v>
      </c>
      <c r="D6" s="97" t="s">
        <v>11</v>
      </c>
      <c r="E6" s="98"/>
      <c r="G6" s="11">
        <f t="shared" si="0"/>
        <v>2017</v>
      </c>
      <c r="H6" s="11">
        <f t="shared" si="1"/>
        <v>1</v>
      </c>
      <c r="I6" s="20">
        <f t="shared" si="2"/>
        <v>0</v>
      </c>
      <c r="J6" s="28" t="e">
        <f t="shared" si="3"/>
        <v>#REF!</v>
      </c>
    </row>
    <row r="7" spans="1:10" x14ac:dyDescent="0.25">
      <c r="A7" s="4" t="s">
        <v>12</v>
      </c>
      <c r="B7" s="21"/>
      <c r="D7" s="4" t="s">
        <v>13</v>
      </c>
      <c r="E7" s="8"/>
      <c r="G7" s="12">
        <f t="shared" si="0"/>
        <v>2018</v>
      </c>
      <c r="H7" s="12">
        <f t="shared" si="1"/>
        <v>1</v>
      </c>
      <c r="I7" s="20">
        <f t="shared" si="2"/>
        <v>0</v>
      </c>
      <c r="J7" s="34" t="e">
        <f t="shared" si="3"/>
        <v>#REF!</v>
      </c>
    </row>
    <row r="8" spans="1:10" x14ac:dyDescent="0.25">
      <c r="A8" s="4" t="s">
        <v>14</v>
      </c>
      <c r="B8" s="21"/>
      <c r="D8" s="4" t="s">
        <v>15</v>
      </c>
      <c r="E8" s="37">
        <v>1.1499999999999999</v>
      </c>
      <c r="G8" s="11">
        <f t="shared" si="0"/>
        <v>2019</v>
      </c>
      <c r="H8" s="11">
        <f t="shared" si="1"/>
        <v>1</v>
      </c>
      <c r="I8" s="20">
        <f t="shared" si="2"/>
        <v>0</v>
      </c>
      <c r="J8" s="28" t="e">
        <f t="shared" si="3"/>
        <v>#REF!</v>
      </c>
    </row>
    <row r="9" spans="1:10" x14ac:dyDescent="0.25">
      <c r="G9" s="12">
        <f t="shared" si="0"/>
        <v>2020</v>
      </c>
      <c r="H9" s="12">
        <f t="shared" si="1"/>
        <v>1</v>
      </c>
      <c r="I9" s="20">
        <f t="shared" si="2"/>
        <v>0</v>
      </c>
      <c r="J9" s="34" t="e">
        <f t="shared" si="3"/>
        <v>#REF!</v>
      </c>
    </row>
    <row r="10" spans="1:10" x14ac:dyDescent="0.25">
      <c r="A10" s="10" t="s">
        <v>16</v>
      </c>
      <c r="G10" s="11">
        <f t="shared" si="0"/>
        <v>2021</v>
      </c>
      <c r="H10" s="11">
        <f t="shared" si="1"/>
        <v>1</v>
      </c>
      <c r="I10" s="20">
        <f t="shared" si="2"/>
        <v>0</v>
      </c>
      <c r="J10" s="28" t="e">
        <f t="shared" si="3"/>
        <v>#REF!</v>
      </c>
    </row>
    <row r="11" spans="1:10" x14ac:dyDescent="0.25">
      <c r="A11" s="9" t="s">
        <v>17</v>
      </c>
      <c r="B11" s="35" t="e">
        <f>NPV($B$17,J4:J29)/(1+$B$17)^(E4-B16+1)</f>
        <v>#REF!</v>
      </c>
      <c r="G11" s="12">
        <f t="shared" si="0"/>
        <v>2022</v>
      </c>
      <c r="H11" s="12">
        <f t="shared" si="1"/>
        <v>1</v>
      </c>
      <c r="I11" s="20">
        <f t="shared" si="2"/>
        <v>0</v>
      </c>
      <c r="J11" s="34" t="e">
        <f t="shared" si="3"/>
        <v>#REF!</v>
      </c>
    </row>
    <row r="12" spans="1:10" x14ac:dyDescent="0.25">
      <c r="A12" s="9" t="s">
        <v>18</v>
      </c>
      <c r="B12" s="33" t="e">
        <f>B11/B7</f>
        <v>#REF!</v>
      </c>
      <c r="G12" s="11">
        <f t="shared" si="0"/>
        <v>2023</v>
      </c>
      <c r="H12" s="11">
        <f t="shared" si="1"/>
        <v>1</v>
      </c>
      <c r="I12" s="20">
        <f t="shared" si="2"/>
        <v>0</v>
      </c>
      <c r="J12" s="28" t="e">
        <f t="shared" si="3"/>
        <v>#REF!</v>
      </c>
    </row>
    <row r="13" spans="1:10" x14ac:dyDescent="0.25">
      <c r="G13" s="12">
        <f t="shared" si="0"/>
        <v>2024</v>
      </c>
      <c r="H13" s="12">
        <f t="shared" si="1"/>
        <v>1</v>
      </c>
      <c r="I13" s="20">
        <f t="shared" si="2"/>
        <v>0</v>
      </c>
      <c r="J13" s="34" t="e">
        <f t="shared" si="3"/>
        <v>#REF!</v>
      </c>
    </row>
    <row r="14" spans="1:10" x14ac:dyDescent="0.25">
      <c r="G14" s="11">
        <f>G13+1</f>
        <v>2025</v>
      </c>
      <c r="H14" s="11">
        <f t="shared" si="1"/>
        <v>1</v>
      </c>
      <c r="I14" s="20">
        <f t="shared" si="2"/>
        <v>0</v>
      </c>
      <c r="J14" s="28" t="e">
        <f t="shared" si="3"/>
        <v>#REF!</v>
      </c>
    </row>
    <row r="15" spans="1:10" x14ac:dyDescent="0.25">
      <c r="A15" s="14" t="s">
        <v>19</v>
      </c>
      <c r="G15" s="12">
        <f t="shared" si="0"/>
        <v>2026</v>
      </c>
      <c r="H15" s="12">
        <f t="shared" si="1"/>
        <v>1</v>
      </c>
      <c r="I15" s="20">
        <f t="shared" si="2"/>
        <v>0</v>
      </c>
      <c r="J15" s="34" t="e">
        <f t="shared" si="3"/>
        <v>#REF!</v>
      </c>
    </row>
    <row r="16" spans="1:10" x14ac:dyDescent="0.25">
      <c r="A16" s="15" t="s">
        <v>20</v>
      </c>
      <c r="B16" s="15" t="e">
        <f>'Assumed Values'!#REF!</f>
        <v>#REF!</v>
      </c>
      <c r="D16" s="14" t="s">
        <v>21</v>
      </c>
      <c r="E16" s="22" t="s">
        <v>2</v>
      </c>
      <c r="G16" s="11">
        <f t="shared" si="0"/>
        <v>2027</v>
      </c>
      <c r="H16" s="11">
        <f t="shared" si="1"/>
        <v>1</v>
      </c>
      <c r="I16" s="20">
        <f t="shared" si="2"/>
        <v>0</v>
      </c>
      <c r="J16" s="28" t="e">
        <f t="shared" si="3"/>
        <v>#REF!</v>
      </c>
    </row>
    <row r="17" spans="1:10" x14ac:dyDescent="0.25">
      <c r="A17" s="15" t="s">
        <v>22</v>
      </c>
      <c r="B17" s="16" t="e">
        <f>'Assumed Values'!#REF!</f>
        <v>#REF!</v>
      </c>
      <c r="D17" s="18" t="s">
        <v>23</v>
      </c>
      <c r="E17" s="19">
        <f>E7/E8</f>
        <v>0</v>
      </c>
      <c r="G17" s="12">
        <f t="shared" si="0"/>
        <v>2028</v>
      </c>
      <c r="H17" s="12">
        <f t="shared" si="1"/>
        <v>1</v>
      </c>
      <c r="I17" s="20">
        <f t="shared" si="2"/>
        <v>0</v>
      </c>
      <c r="J17" s="34" t="e">
        <f t="shared" si="3"/>
        <v>#REF!</v>
      </c>
    </row>
    <row r="18" spans="1:10" x14ac:dyDescent="0.25">
      <c r="A18" s="15" t="s">
        <v>24</v>
      </c>
      <c r="B18" s="15">
        <f>IF(B6=2,2.1, 1.1)</f>
        <v>1.1000000000000001</v>
      </c>
      <c r="G18" s="11">
        <f t="shared" si="0"/>
        <v>2029</v>
      </c>
      <c r="H18" s="11">
        <f t="shared" si="1"/>
        <v>1</v>
      </c>
      <c r="I18" s="20">
        <f t="shared" si="2"/>
        <v>0</v>
      </c>
      <c r="J18" s="28" t="e">
        <f t="shared" si="3"/>
        <v>#REF!</v>
      </c>
    </row>
    <row r="19" spans="1:10" x14ac:dyDescent="0.25">
      <c r="A19" s="15" t="s">
        <v>25</v>
      </c>
      <c r="B19" s="17" t="e">
        <f>'Assumed Values'!#REF!</f>
        <v>#REF!</v>
      </c>
      <c r="G19" s="12">
        <f t="shared" si="0"/>
        <v>2030</v>
      </c>
      <c r="H19" s="12">
        <f t="shared" si="1"/>
        <v>1</v>
      </c>
      <c r="I19" s="20">
        <f t="shared" si="2"/>
        <v>0</v>
      </c>
      <c r="J19" s="34" t="e">
        <f t="shared" si="3"/>
        <v>#REF!</v>
      </c>
    </row>
    <row r="20" spans="1:10" x14ac:dyDescent="0.25">
      <c r="A20" s="15" t="s">
        <v>26</v>
      </c>
      <c r="B20" s="15">
        <v>260</v>
      </c>
      <c r="G20" s="11">
        <f t="shared" si="0"/>
        <v>2031</v>
      </c>
      <c r="H20" s="11">
        <f t="shared" si="1"/>
        <v>1</v>
      </c>
      <c r="I20" s="20">
        <f t="shared" si="2"/>
        <v>0</v>
      </c>
      <c r="J20" s="28" t="e">
        <f t="shared" si="3"/>
        <v>#REF!</v>
      </c>
    </row>
    <row r="21" spans="1:10" x14ac:dyDescent="0.25">
      <c r="G21" s="12">
        <f t="shared" si="0"/>
        <v>2032</v>
      </c>
      <c r="H21" s="12">
        <f t="shared" si="1"/>
        <v>1</v>
      </c>
      <c r="I21" s="20">
        <f t="shared" si="2"/>
        <v>0</v>
      </c>
      <c r="J21" s="34" t="e">
        <f t="shared" si="3"/>
        <v>#REF!</v>
      </c>
    </row>
    <row r="22" spans="1:10" x14ac:dyDescent="0.25">
      <c r="G22" s="11">
        <f t="shared" si="0"/>
        <v>2033</v>
      </c>
      <c r="H22" s="11">
        <f t="shared" si="1"/>
        <v>1</v>
      </c>
      <c r="I22" s="20">
        <f t="shared" si="2"/>
        <v>0</v>
      </c>
      <c r="J22" s="28" t="e">
        <f t="shared" si="3"/>
        <v>#REF!</v>
      </c>
    </row>
    <row r="23" spans="1:10" x14ac:dyDescent="0.25">
      <c r="G23" s="12">
        <f t="shared" si="0"/>
        <v>2034</v>
      </c>
      <c r="H23" s="12">
        <f t="shared" si="1"/>
        <v>1</v>
      </c>
      <c r="I23" s="20">
        <f t="shared" si="2"/>
        <v>0</v>
      </c>
      <c r="J23" s="34" t="e">
        <f t="shared" si="3"/>
        <v>#REF!</v>
      </c>
    </row>
    <row r="24" spans="1:10" x14ac:dyDescent="0.25">
      <c r="G24" s="11">
        <f t="shared" si="0"/>
        <v>2035</v>
      </c>
      <c r="H24" s="11">
        <f t="shared" si="1"/>
        <v>1</v>
      </c>
      <c r="I24" s="20">
        <f t="shared" si="2"/>
        <v>0</v>
      </c>
      <c r="J24" s="28" t="e">
        <f t="shared" si="3"/>
        <v>#REF!</v>
      </c>
    </row>
    <row r="25" spans="1:10" x14ac:dyDescent="0.25">
      <c r="G25" s="12">
        <f t="shared" si="0"/>
        <v>2036</v>
      </c>
      <c r="H25" s="12">
        <f t="shared" si="1"/>
        <v>1</v>
      </c>
      <c r="I25" s="20">
        <f t="shared" si="2"/>
        <v>0</v>
      </c>
      <c r="J25" s="34" t="e">
        <f t="shared" ref="J25:J29" si="4">I25*$B$18*$B$19/10^3</f>
        <v>#REF!</v>
      </c>
    </row>
    <row r="26" spans="1:10" x14ac:dyDescent="0.25">
      <c r="G26" s="11">
        <f t="shared" si="0"/>
        <v>2037</v>
      </c>
      <c r="H26" s="11">
        <f t="shared" si="1"/>
        <v>1</v>
      </c>
      <c r="I26" s="20">
        <f t="shared" si="2"/>
        <v>0</v>
      </c>
      <c r="J26" s="28" t="e">
        <f t="shared" si="4"/>
        <v>#REF!</v>
      </c>
    </row>
    <row r="27" spans="1:10" x14ac:dyDescent="0.25">
      <c r="G27" s="12">
        <f t="shared" si="0"/>
        <v>2038</v>
      </c>
      <c r="H27" s="12">
        <f t="shared" si="1"/>
        <v>1</v>
      </c>
      <c r="I27" s="20">
        <f t="shared" si="2"/>
        <v>0</v>
      </c>
      <c r="J27" s="34" t="e">
        <f t="shared" si="4"/>
        <v>#REF!</v>
      </c>
    </row>
    <row r="28" spans="1:10" x14ac:dyDescent="0.25">
      <c r="G28" s="11">
        <f t="shared" si="0"/>
        <v>2039</v>
      </c>
      <c r="H28" s="11">
        <f t="shared" si="1"/>
        <v>1</v>
      </c>
      <c r="I28" s="20">
        <f t="shared" si="2"/>
        <v>0</v>
      </c>
      <c r="J28" s="28" t="e">
        <f t="shared" si="4"/>
        <v>#REF!</v>
      </c>
    </row>
    <row r="29" spans="1:10" x14ac:dyDescent="0.25">
      <c r="A29" s="23"/>
      <c r="G29" s="12">
        <f t="shared" si="0"/>
        <v>2040</v>
      </c>
      <c r="H29" s="12">
        <f t="shared" si="1"/>
        <v>1</v>
      </c>
      <c r="I29" s="20">
        <f t="shared" si="2"/>
        <v>0</v>
      </c>
      <c r="J29" s="34" t="e">
        <f t="shared" si="4"/>
        <v>#REF!</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30</v>
      </c>
      <c r="E3" s="7" t="s">
        <v>2</v>
      </c>
      <c r="G3" s="13" t="s">
        <v>3</v>
      </c>
      <c r="H3" s="13" t="s">
        <v>31</v>
      </c>
      <c r="I3" s="13" t="s">
        <v>32</v>
      </c>
      <c r="J3" s="13" t="s">
        <v>33</v>
      </c>
      <c r="K3" s="13" t="s">
        <v>34</v>
      </c>
    </row>
    <row r="4" spans="1:11" x14ac:dyDescent="0.25">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x14ac:dyDescent="0.25">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x14ac:dyDescent="0.25">
      <c r="A6" s="4" t="s">
        <v>35</v>
      </c>
      <c r="B6" s="5">
        <v>2</v>
      </c>
      <c r="D6" s="97" t="s">
        <v>11</v>
      </c>
      <c r="E6" s="98"/>
      <c r="G6" s="11">
        <f t="shared" si="2"/>
        <v>2017</v>
      </c>
      <c r="H6" s="30" t="e">
        <f t="shared" si="0"/>
        <v>#REF!</v>
      </c>
      <c r="I6" s="28" t="e">
        <f t="shared" si="3"/>
        <v>#REF!</v>
      </c>
      <c r="J6" s="30" t="e">
        <f t="shared" si="1"/>
        <v>#REF!</v>
      </c>
      <c r="K6" s="28" t="e">
        <f t="shared" si="4"/>
        <v>#REF!</v>
      </c>
    </row>
    <row r="7" spans="1:11" x14ac:dyDescent="0.25">
      <c r="A7" s="4" t="s">
        <v>12</v>
      </c>
      <c r="B7" s="21"/>
      <c r="D7" s="4" t="s">
        <v>36</v>
      </c>
      <c r="E7" s="8"/>
      <c r="G7" s="12">
        <f t="shared" si="2"/>
        <v>2018</v>
      </c>
      <c r="H7" s="30" t="e">
        <f t="shared" si="0"/>
        <v>#REF!</v>
      </c>
      <c r="I7" s="31" t="e">
        <f t="shared" si="3"/>
        <v>#REF!</v>
      </c>
      <c r="J7" s="30" t="e">
        <f t="shared" si="1"/>
        <v>#REF!</v>
      </c>
      <c r="K7" s="31" t="e">
        <f t="shared" si="4"/>
        <v>#REF!</v>
      </c>
    </row>
    <row r="8" spans="1:11" x14ac:dyDescent="0.25">
      <c r="A8" s="4" t="s">
        <v>14</v>
      </c>
      <c r="B8" s="21"/>
      <c r="D8" s="97" t="s">
        <v>37</v>
      </c>
      <c r="E8" s="98"/>
      <c r="G8" s="11">
        <f t="shared" si="2"/>
        <v>2019</v>
      </c>
      <c r="H8" s="30" t="e">
        <f t="shared" si="0"/>
        <v>#REF!</v>
      </c>
      <c r="I8" s="28" t="e">
        <f t="shared" si="3"/>
        <v>#REF!</v>
      </c>
      <c r="J8" s="30" t="e">
        <f t="shared" si="1"/>
        <v>#REF!</v>
      </c>
      <c r="K8" s="28" t="e">
        <f t="shared" si="4"/>
        <v>#REF!</v>
      </c>
    </row>
    <row r="9" spans="1:11" x14ac:dyDescent="0.25">
      <c r="D9" s="4" t="s">
        <v>38</v>
      </c>
      <c r="E9" s="8"/>
      <c r="G9" s="12">
        <f t="shared" si="2"/>
        <v>2020</v>
      </c>
      <c r="H9" s="30" t="e">
        <f t="shared" si="0"/>
        <v>#REF!</v>
      </c>
      <c r="I9" s="31" t="e">
        <f t="shared" si="3"/>
        <v>#REF!</v>
      </c>
      <c r="J9" s="30" t="e">
        <f t="shared" si="1"/>
        <v>#REF!</v>
      </c>
      <c r="K9" s="31" t="e">
        <f t="shared" si="4"/>
        <v>#REF!</v>
      </c>
    </row>
    <row r="10" spans="1:11" x14ac:dyDescent="0.25">
      <c r="A10" s="10" t="s">
        <v>16</v>
      </c>
      <c r="D10" s="4" t="s">
        <v>39</v>
      </c>
      <c r="E10" s="8"/>
      <c r="G10" s="11">
        <f t="shared" si="2"/>
        <v>2021</v>
      </c>
      <c r="H10" s="30" t="e">
        <f t="shared" si="0"/>
        <v>#REF!</v>
      </c>
      <c r="I10" s="28" t="e">
        <f t="shared" si="3"/>
        <v>#REF!</v>
      </c>
      <c r="J10" s="30" t="e">
        <f t="shared" si="1"/>
        <v>#REF!</v>
      </c>
      <c r="K10" s="28" t="e">
        <f t="shared" si="4"/>
        <v>#REF!</v>
      </c>
    </row>
    <row r="11" spans="1:11" x14ac:dyDescent="0.25">
      <c r="A11" s="9" t="s">
        <v>40</v>
      </c>
      <c r="B11" s="32" t="e">
        <f>(NPV($B$17,K4:K24)+NPV($B$17,I4:I24))/(1+$B$17)^2</f>
        <v>#REF!</v>
      </c>
      <c r="G11" s="12">
        <f t="shared" si="2"/>
        <v>2022</v>
      </c>
      <c r="H11" s="30" t="e">
        <f t="shared" si="0"/>
        <v>#REF!</v>
      </c>
      <c r="I11" s="31" t="e">
        <f t="shared" si="3"/>
        <v>#REF!</v>
      </c>
      <c r="J11" s="30" t="e">
        <f t="shared" si="1"/>
        <v>#REF!</v>
      </c>
      <c r="K11" s="31" t="e">
        <f t="shared" si="4"/>
        <v>#REF!</v>
      </c>
    </row>
    <row r="12" spans="1:11" x14ac:dyDescent="0.25">
      <c r="A12" s="9" t="s">
        <v>18</v>
      </c>
      <c r="B12" s="33" t="e">
        <f>B11/B7</f>
        <v>#REF!</v>
      </c>
      <c r="G12" s="11">
        <f t="shared" si="2"/>
        <v>2023</v>
      </c>
      <c r="H12" s="30" t="e">
        <f t="shared" si="0"/>
        <v>#REF!</v>
      </c>
      <c r="I12" s="28" t="e">
        <f t="shared" si="3"/>
        <v>#REF!</v>
      </c>
      <c r="J12" s="30" t="e">
        <f t="shared" si="1"/>
        <v>#REF!</v>
      </c>
      <c r="K12" s="28" t="e">
        <f t="shared" si="4"/>
        <v>#REF!</v>
      </c>
    </row>
    <row r="13" spans="1:11" x14ac:dyDescent="0.25">
      <c r="A13" s="9" t="s">
        <v>41</v>
      </c>
      <c r="B13" s="32" t="e">
        <f>B7*(B17/(1-(1+B17)^(-E5))/(SUM(H4:H29)+SUM(J4:J29)))</f>
        <v>#REF!</v>
      </c>
      <c r="G13" s="12">
        <f t="shared" si="2"/>
        <v>2024</v>
      </c>
      <c r="H13" s="30" t="e">
        <f t="shared" si="0"/>
        <v>#REF!</v>
      </c>
      <c r="I13" s="31" t="e">
        <f t="shared" si="3"/>
        <v>#REF!</v>
      </c>
      <c r="J13" s="30" t="e">
        <f t="shared" si="1"/>
        <v>#REF!</v>
      </c>
      <c r="K13" s="31" t="e">
        <f t="shared" si="4"/>
        <v>#REF!</v>
      </c>
    </row>
    <row r="14" spans="1:11" x14ac:dyDescent="0.25">
      <c r="G14" s="11">
        <f>G13+1</f>
        <v>2025</v>
      </c>
      <c r="H14" s="30">
        <f t="shared" si="0"/>
        <v>0</v>
      </c>
      <c r="I14" s="28" t="e">
        <f t="shared" si="3"/>
        <v>#REF!</v>
      </c>
      <c r="J14" s="30">
        <f t="shared" si="1"/>
        <v>0</v>
      </c>
      <c r="K14" s="28" t="e">
        <f t="shared" si="4"/>
        <v>#REF!</v>
      </c>
    </row>
    <row r="15" spans="1:11" x14ac:dyDescent="0.25">
      <c r="A15" s="14" t="s">
        <v>19</v>
      </c>
      <c r="G15" s="12">
        <f t="shared" si="2"/>
        <v>2026</v>
      </c>
      <c r="H15" s="30">
        <f t="shared" si="0"/>
        <v>0</v>
      </c>
      <c r="I15" s="31" t="e">
        <f t="shared" si="3"/>
        <v>#REF!</v>
      </c>
      <c r="J15" s="30">
        <f t="shared" si="1"/>
        <v>0</v>
      </c>
      <c r="K15" s="31" t="e">
        <f t="shared" si="4"/>
        <v>#REF!</v>
      </c>
    </row>
    <row r="16" spans="1:11" x14ac:dyDescent="0.25">
      <c r="A16" s="15" t="s">
        <v>20</v>
      </c>
      <c r="B16" s="15">
        <v>2015</v>
      </c>
      <c r="D16" s="14" t="s">
        <v>21</v>
      </c>
      <c r="E16" s="22" t="s">
        <v>2</v>
      </c>
      <c r="G16" s="11">
        <f t="shared" si="2"/>
        <v>2027</v>
      </c>
      <c r="H16" s="30">
        <f t="shared" si="0"/>
        <v>0</v>
      </c>
      <c r="I16" s="28" t="e">
        <f t="shared" si="3"/>
        <v>#REF!</v>
      </c>
      <c r="J16" s="30">
        <f t="shared" si="1"/>
        <v>0</v>
      </c>
      <c r="K16" s="28" t="e">
        <f t="shared" si="4"/>
        <v>#REF!</v>
      </c>
    </row>
    <row r="17" spans="1:11" x14ac:dyDescent="0.25">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x14ac:dyDescent="0.25">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x14ac:dyDescent="0.25">
      <c r="A19" s="15" t="s">
        <v>43</v>
      </c>
      <c r="B19" s="36" t="e">
        <f>IF($B$6=2,'Assumed Values'!#REF!,0)</f>
        <v>#REF!</v>
      </c>
      <c r="G19" s="12">
        <f t="shared" si="2"/>
        <v>2030</v>
      </c>
      <c r="H19" s="30">
        <f t="shared" si="0"/>
        <v>0</v>
      </c>
      <c r="I19" s="31" t="e">
        <f t="shared" si="3"/>
        <v>#REF!</v>
      </c>
      <c r="J19" s="30">
        <f t="shared" si="1"/>
        <v>0</v>
      </c>
      <c r="K19" s="31" t="e">
        <f t="shared" si="4"/>
        <v>#REF!</v>
      </c>
    </row>
    <row r="20" spans="1:11" x14ac:dyDescent="0.25">
      <c r="A20" s="15" t="s">
        <v>44</v>
      </c>
      <c r="B20" s="29" t="e">
        <f>'Assumed Values'!#REF!</f>
        <v>#REF!</v>
      </c>
      <c r="G20" s="11">
        <f t="shared" si="2"/>
        <v>2031</v>
      </c>
      <c r="H20" s="30">
        <f t="shared" si="0"/>
        <v>0</v>
      </c>
      <c r="I20" s="28" t="e">
        <f t="shared" si="3"/>
        <v>#REF!</v>
      </c>
      <c r="J20" s="30">
        <f t="shared" si="1"/>
        <v>0</v>
      </c>
      <c r="K20" s="28" t="e">
        <f t="shared" si="4"/>
        <v>#REF!</v>
      </c>
    </row>
    <row r="21" spans="1:11" x14ac:dyDescent="0.25">
      <c r="A21" s="15" t="s">
        <v>45</v>
      </c>
      <c r="B21" s="29" t="e">
        <f>'Assumed Values'!#REF!</f>
        <v>#REF!</v>
      </c>
      <c r="G21" s="12">
        <f t="shared" si="2"/>
        <v>2032</v>
      </c>
      <c r="H21" s="30">
        <f t="shared" si="0"/>
        <v>0</v>
      </c>
      <c r="I21" s="31" t="e">
        <f t="shared" si="3"/>
        <v>#REF!</v>
      </c>
      <c r="J21" s="30">
        <f t="shared" si="1"/>
        <v>0</v>
      </c>
      <c r="K21" s="31" t="e">
        <f t="shared" si="4"/>
        <v>#REF!</v>
      </c>
    </row>
    <row r="22" spans="1:11" x14ac:dyDescent="0.25">
      <c r="A22" s="15" t="s">
        <v>26</v>
      </c>
      <c r="B22" s="15">
        <v>260</v>
      </c>
      <c r="G22" s="11">
        <f t="shared" si="2"/>
        <v>2033</v>
      </c>
      <c r="H22" s="30">
        <f t="shared" si="0"/>
        <v>0</v>
      </c>
      <c r="I22" s="28" t="e">
        <f t="shared" si="3"/>
        <v>#REF!</v>
      </c>
      <c r="J22" s="30">
        <f t="shared" si="1"/>
        <v>0</v>
      </c>
      <c r="K22" s="28" t="e">
        <f t="shared" si="4"/>
        <v>#REF!</v>
      </c>
    </row>
    <row r="23" spans="1:11" x14ac:dyDescent="0.25">
      <c r="G23" s="12">
        <f t="shared" si="2"/>
        <v>2034</v>
      </c>
      <c r="H23" s="30">
        <f t="shared" si="0"/>
        <v>0</v>
      </c>
      <c r="I23" s="31" t="e">
        <f t="shared" si="3"/>
        <v>#REF!</v>
      </c>
      <c r="J23" s="30">
        <f t="shared" si="1"/>
        <v>0</v>
      </c>
      <c r="K23" s="31" t="e">
        <f t="shared" si="4"/>
        <v>#REF!</v>
      </c>
    </row>
    <row r="24" spans="1:11" x14ac:dyDescent="0.25">
      <c r="G24" s="11">
        <f t="shared" si="2"/>
        <v>2035</v>
      </c>
      <c r="H24" s="30">
        <f t="shared" si="0"/>
        <v>0</v>
      </c>
      <c r="I24" s="28" t="e">
        <f t="shared" si="3"/>
        <v>#REF!</v>
      </c>
      <c r="J24" s="30">
        <f t="shared" si="1"/>
        <v>0</v>
      </c>
      <c r="K24" s="28" t="e">
        <f t="shared" si="4"/>
        <v>#REF!</v>
      </c>
    </row>
    <row r="25" spans="1:11" x14ac:dyDescent="0.25">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x14ac:dyDescent="0.25">
      <c r="G26" s="11">
        <f t="shared" si="2"/>
        <v>2037</v>
      </c>
      <c r="H26" s="30">
        <f t="shared" si="5"/>
        <v>0</v>
      </c>
      <c r="I26" s="28" t="e">
        <f t="shared" si="6"/>
        <v>#REF!</v>
      </c>
      <c r="J26" s="30">
        <f t="shared" si="7"/>
        <v>0</v>
      </c>
      <c r="K26" s="28" t="e">
        <f t="shared" si="8"/>
        <v>#REF!</v>
      </c>
    </row>
    <row r="27" spans="1:11" x14ac:dyDescent="0.25">
      <c r="G27" s="12">
        <f t="shared" si="2"/>
        <v>2038</v>
      </c>
      <c r="H27" s="30">
        <f t="shared" si="5"/>
        <v>0</v>
      </c>
      <c r="I27" s="31" t="e">
        <f t="shared" si="6"/>
        <v>#REF!</v>
      </c>
      <c r="J27" s="30">
        <f t="shared" si="7"/>
        <v>0</v>
      </c>
      <c r="K27" s="31" t="e">
        <f t="shared" si="8"/>
        <v>#REF!</v>
      </c>
    </row>
    <row r="28" spans="1:11" x14ac:dyDescent="0.25">
      <c r="G28" s="11">
        <f t="shared" si="2"/>
        <v>2039</v>
      </c>
      <c r="H28" s="30">
        <f t="shared" si="5"/>
        <v>0</v>
      </c>
      <c r="I28" s="28" t="e">
        <f t="shared" si="6"/>
        <v>#REF!</v>
      </c>
      <c r="J28" s="30">
        <f t="shared" si="7"/>
        <v>0</v>
      </c>
      <c r="K28" s="28" t="e">
        <f t="shared" si="8"/>
        <v>#REF!</v>
      </c>
    </row>
    <row r="29" spans="1:11" x14ac:dyDescent="0.25">
      <c r="G29" s="12">
        <f t="shared" si="2"/>
        <v>2040</v>
      </c>
      <c r="H29" s="30">
        <f>IF($G29&lt;($G$4+$E$5),$E$17,0)</f>
        <v>0</v>
      </c>
      <c r="I29" s="31" t="e">
        <f t="shared" si="6"/>
        <v>#REF!</v>
      </c>
      <c r="J29" s="30">
        <f>IF($G29&lt;($G$4+$E$5),$E$18,0)</f>
        <v>0</v>
      </c>
      <c r="K29" s="31" t="e">
        <f t="shared" si="8"/>
        <v>#REF!</v>
      </c>
    </row>
    <row r="31" spans="1:11" x14ac:dyDescent="0.25">
      <c r="A31" s="23"/>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7" zoomScaleNormal="100" workbookViewId="0">
      <selection activeCell="E24" sqref="E24"/>
    </sheetView>
  </sheetViews>
  <sheetFormatPr defaultColWidth="9.140625" defaultRowHeight="15" x14ac:dyDescent="0.25"/>
  <cols>
    <col min="1" max="1" width="57" style="49" customWidth="1"/>
    <col min="2" max="2" width="16" style="49" customWidth="1"/>
    <col min="3" max="3" width="5.28515625" style="49" customWidth="1"/>
    <col min="4" max="4" width="5.7109375" style="49" customWidth="1"/>
    <col min="5" max="16384" width="9.140625" style="49"/>
  </cols>
  <sheetData>
    <row r="3" spans="1:5" ht="18.75" x14ac:dyDescent="0.3">
      <c r="A3" s="79" t="s">
        <v>46</v>
      </c>
      <c r="B3" s="80"/>
      <c r="C3" s="80"/>
    </row>
    <row r="5" spans="1:5" ht="30" customHeight="1" x14ac:dyDescent="0.25">
      <c r="A5" s="81" t="s">
        <v>0</v>
      </c>
    </row>
    <row r="6" spans="1:5" ht="60" x14ac:dyDescent="0.25">
      <c r="A6" s="5" t="s">
        <v>6</v>
      </c>
      <c r="B6" s="95" t="s">
        <v>47</v>
      </c>
      <c r="D6" s="5"/>
      <c r="E6" s="49" t="s">
        <v>48</v>
      </c>
    </row>
    <row r="7" spans="1:5" x14ac:dyDescent="0.25">
      <c r="A7" s="5" t="s">
        <v>49</v>
      </c>
      <c r="B7" s="5"/>
      <c r="D7" s="78"/>
      <c r="E7" s="49" t="s">
        <v>50</v>
      </c>
    </row>
    <row r="8" spans="1:5" x14ac:dyDescent="0.25">
      <c r="A8" s="5" t="s">
        <v>51</v>
      </c>
      <c r="B8" s="84" t="s">
        <v>52</v>
      </c>
      <c r="D8" s="82"/>
      <c r="E8" s="49" t="s">
        <v>53</v>
      </c>
    </row>
    <row r="9" spans="1:5" x14ac:dyDescent="0.25">
      <c r="A9" s="5" t="s">
        <v>54</v>
      </c>
      <c r="B9" s="84" t="s">
        <v>55</v>
      </c>
      <c r="D9" s="83"/>
      <c r="E9" s="49" t="s">
        <v>56</v>
      </c>
    </row>
    <row r="12" spans="1:5" x14ac:dyDescent="0.25">
      <c r="A12" s="81" t="s">
        <v>57</v>
      </c>
    </row>
    <row r="13" spans="1:5" x14ac:dyDescent="0.25">
      <c r="A13" s="5" t="s">
        <v>58</v>
      </c>
      <c r="B13" s="5">
        <v>2023</v>
      </c>
    </row>
    <row r="14" spans="1:5" x14ac:dyDescent="0.25">
      <c r="A14" s="5" t="s">
        <v>59</v>
      </c>
      <c r="B14" s="5" t="s">
        <v>60</v>
      </c>
    </row>
    <row r="15" spans="1:5" x14ac:dyDescent="0.25">
      <c r="A15" s="84" t="s">
        <v>61</v>
      </c>
      <c r="B15" s="8" t="s">
        <v>62</v>
      </c>
    </row>
    <row r="16" spans="1:5" x14ac:dyDescent="0.25">
      <c r="A16" s="84" t="s">
        <v>63</v>
      </c>
      <c r="B16" s="8">
        <v>26</v>
      </c>
    </row>
    <row r="17" spans="1:2" x14ac:dyDescent="0.25">
      <c r="A17" s="85" t="s">
        <v>64</v>
      </c>
      <c r="B17" s="8">
        <v>58</v>
      </c>
    </row>
    <row r="18" spans="1:2" x14ac:dyDescent="0.25">
      <c r="A18" s="85" t="s">
        <v>65</v>
      </c>
      <c r="B18" s="8">
        <v>32</v>
      </c>
    </row>
    <row r="19" spans="1:2" x14ac:dyDescent="0.25">
      <c r="A19" s="76" t="s">
        <v>66</v>
      </c>
      <c r="B19" s="77">
        <f>VLOOKUP(B14,'Service Life'!C6:D8,2,FALSE)</f>
        <v>20</v>
      </c>
    </row>
    <row r="21" spans="1:2" x14ac:dyDescent="0.25">
      <c r="A21" s="81" t="s">
        <v>67</v>
      </c>
    </row>
    <row r="22" spans="1:2" ht="20.25" customHeight="1" x14ac:dyDescent="0.25">
      <c r="A22" s="85" t="s">
        <v>68</v>
      </c>
      <c r="B22" s="96">
        <v>82749</v>
      </c>
    </row>
    <row r="23" spans="1:2" ht="30" x14ac:dyDescent="0.25">
      <c r="A23" s="93" t="s">
        <v>69</v>
      </c>
      <c r="B23" s="94">
        <v>96807</v>
      </c>
    </row>
    <row r="24" spans="1:2" ht="30" x14ac:dyDescent="0.25">
      <c r="A24" s="93" t="s">
        <v>70</v>
      </c>
      <c r="B24" s="94">
        <v>130230</v>
      </c>
    </row>
    <row r="27" spans="1:2" ht="18.75" x14ac:dyDescent="0.3">
      <c r="A27" s="79" t="s">
        <v>71</v>
      </c>
      <c r="B27" s="80"/>
    </row>
    <row r="29" spans="1:2" x14ac:dyDescent="0.25">
      <c r="A29" s="86" t="s">
        <v>72</v>
      </c>
    </row>
    <row r="30" spans="1:2" x14ac:dyDescent="0.25">
      <c r="A30" s="83" t="s">
        <v>73</v>
      </c>
      <c r="B30" s="35">
        <f>'Benefit Calculations'!M37</f>
        <v>206503.6742393832</v>
      </c>
    </row>
    <row r="31" spans="1:2" x14ac:dyDescent="0.25">
      <c r="A31" s="83" t="s">
        <v>74</v>
      </c>
      <c r="B31" s="35">
        <f>'Benefit Calculations'!Q37</f>
        <v>30380.176260368964</v>
      </c>
    </row>
    <row r="32" spans="1:2" x14ac:dyDescent="0.25">
      <c r="B32" s="87"/>
    </row>
    <row r="33" spans="1:9" x14ac:dyDescent="0.25">
      <c r="A33" s="86" t="s">
        <v>75</v>
      </c>
      <c r="B33" s="87"/>
    </row>
    <row r="34" spans="1:9" x14ac:dyDescent="0.25">
      <c r="A34" s="83" t="s">
        <v>76</v>
      </c>
      <c r="B34" s="35">
        <f>$B$30+$B$31</f>
        <v>236883.85049975215</v>
      </c>
    </row>
    <row r="35" spans="1:9" x14ac:dyDescent="0.25">
      <c r="I35" s="88"/>
    </row>
    <row r="36" spans="1:9" x14ac:dyDescent="0.25">
      <c r="A36" s="86" t="s">
        <v>77</v>
      </c>
    </row>
    <row r="37" spans="1:9" x14ac:dyDescent="0.25">
      <c r="A37" s="83" t="s">
        <v>78</v>
      </c>
      <c r="B37" s="90">
        <f>'Benefit Calculations'!K37</f>
        <v>69.937029104922431</v>
      </c>
    </row>
    <row r="38" spans="1:9" x14ac:dyDescent="0.25">
      <c r="A38" s="83" t="s">
        <v>79</v>
      </c>
      <c r="B38" s="90">
        <f>'Benefit Calculations'!O37</f>
        <v>-40.550757334528555</v>
      </c>
    </row>
    <row r="40" spans="1:9" x14ac:dyDescent="0.25">
      <c r="A40" s="89"/>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selection activeCell="M37" sqref="M37"/>
    </sheetView>
  </sheetViews>
  <sheetFormatPr defaultRowHeight="15" x14ac:dyDescent="0.2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80</v>
      </c>
      <c r="G2"/>
      <c r="H2"/>
      <c r="I2"/>
      <c r="K2" s="1"/>
      <c r="L2" s="38"/>
    </row>
    <row r="3" spans="2:21" ht="41.45" customHeight="1" x14ac:dyDescent="0.25">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x14ac:dyDescent="0.25">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6.6291801631500002E-2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1.16529995576E-2</v>
      </c>
      <c r="F4" s="54">
        <v>2018</v>
      </c>
      <c r="G4" s="63">
        <f>'Inputs &amp; Outputs'!B22</f>
        <v>82749</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x14ac:dyDescent="0.25">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6.1861101537899997E-2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1.42219997942E-2</v>
      </c>
      <c r="F5" s="54">
        <f t="shared" ref="F5:F36" si="2">F4+1</f>
        <v>2019</v>
      </c>
      <c r="G5" s="63">
        <f>G4+G4*H5</f>
        <v>84624.791637096016</v>
      </c>
      <c r="H5" s="62">
        <f>$C$9</f>
        <v>2.2668450822318276E-2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x14ac:dyDescent="0.25">
      <c r="F6" s="54">
        <f t="shared" si="2"/>
        <v>2020</v>
      </c>
      <c r="G6" s="63">
        <f t="shared" ref="G6:G36" si="6">G5+G5*H6</f>
        <v>86543.104564670459</v>
      </c>
      <c r="H6" s="62">
        <f t="shared" ref="H6:H11" si="7">$C$9</f>
        <v>2.2668450822318276E-2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x14ac:dyDescent="0.25">
      <c r="F7" s="54">
        <f t="shared" si="2"/>
        <v>2021</v>
      </c>
      <c r="G7" s="63">
        <f t="shared" si="6"/>
        <v>88504.902674505443</v>
      </c>
      <c r="H7" s="62">
        <f t="shared" si="7"/>
        <v>2.2668450822318276E-2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x14ac:dyDescent="0.25">
      <c r="B8" s="14" t="s">
        <v>21</v>
      </c>
      <c r="F8" s="54">
        <f t="shared" si="2"/>
        <v>2022</v>
      </c>
      <c r="G8" s="63">
        <f t="shared" si="6"/>
        <v>90511.171708316542</v>
      </c>
      <c r="H8" s="62">
        <f t="shared" si="7"/>
        <v>2.2668450822318276E-2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x14ac:dyDescent="0.25">
      <c r="B9" s="15" t="s">
        <v>98</v>
      </c>
      <c r="C9" s="53">
        <f>('Inputs &amp; Outputs'!B23/'Inputs &amp; Outputs'!B22)^(1/(2025-2018))-1</f>
        <v>2.2668450822318276E-2</v>
      </c>
      <c r="F9" s="54">
        <f t="shared" si="2"/>
        <v>2023</v>
      </c>
      <c r="G9" s="63">
        <f t="shared" si="6"/>
        <v>92562.919753056922</v>
      </c>
      <c r="H9" s="62">
        <f t="shared" si="7"/>
        <v>2.2668450822318276E-2</v>
      </c>
      <c r="I9" s="54">
        <f>IF(AND(F9&gt;='Inputs &amp; Outputs'!B$13,F9&lt;'Inputs &amp; Outputs'!B$13+'Inputs &amp; Outputs'!B$19),1,0)</f>
        <v>1</v>
      </c>
      <c r="J9" s="55">
        <f>I9*'Inputs &amp; Outputs'!B$16*'Benefit Calculations'!G9*('Benefit Calculations'!C$4-'Benefit Calculations'!C$5)</f>
        <v>10663.081967557735</v>
      </c>
      <c r="K9" s="71">
        <f t="shared" si="3"/>
        <v>3.0560518170128783</v>
      </c>
      <c r="L9" s="56">
        <f>K9*'Assumed Values'!$C$8</f>
        <v>22944.837042132691</v>
      </c>
      <c r="M9" s="57">
        <f t="shared" si="0"/>
        <v>16359.35170154554</v>
      </c>
      <c r="N9" s="55">
        <f>I9*'Inputs &amp; Outputs'!B$16*'Benefit Calculations'!G9*('Benefit Calculations'!D$4-'Benefit Calculations'!D$5)</f>
        <v>-6182.6482313957413</v>
      </c>
      <c r="O9" s="71">
        <f t="shared" si="4"/>
        <v>-1.771954245404342</v>
      </c>
      <c r="P9" s="56">
        <f>ABS(O9*'Assumed Values'!$C$7)</f>
        <v>3375.5728374952714</v>
      </c>
      <c r="Q9" s="57">
        <f t="shared" si="1"/>
        <v>2406.7367809745992</v>
      </c>
      <c r="T9" s="68">
        <f t="shared" si="5"/>
        <v>2.7724013115650115</v>
      </c>
      <c r="U9" s="69">
        <f>T9*'Assumed Values'!$D$8</f>
        <v>0</v>
      </c>
    </row>
    <row r="10" spans="2:21" x14ac:dyDescent="0.25">
      <c r="B10" s="15" t="s">
        <v>99</v>
      </c>
      <c r="C10" s="53">
        <f>('Inputs &amp; Outputs'!B24/'Inputs &amp; Outputs'!B23)^(1/(2045-2020))-1</f>
        <v>1.1933960679542555E-2</v>
      </c>
      <c r="F10" s="54">
        <f t="shared" si="2"/>
        <v>2024</v>
      </c>
      <c r="G10" s="63">
        <f t="shared" si="6"/>
        <v>94661.177747449285</v>
      </c>
      <c r="H10" s="62">
        <f t="shared" si="7"/>
        <v>2.2668450822318276E-2</v>
      </c>
      <c r="I10" s="54">
        <f>IF(AND(F10&gt;='Inputs &amp; Outputs'!B$13,F10&lt;'Inputs &amp; Outputs'!B$13+'Inputs &amp; Outputs'!B$19),1,0)</f>
        <v>1</v>
      </c>
      <c r="J10" s="55">
        <f>I10*'Inputs &amp; Outputs'!B$16*'Benefit Calculations'!G10*('Benefit Calculations'!C$4-'Benefit Calculations'!C$5)</f>
        <v>10904.797516753668</v>
      </c>
      <c r="K10" s="71">
        <f t="shared" si="3"/>
        <v>3.1253277773372914</v>
      </c>
      <c r="L10" s="56">
        <f>K10*'Assumed Values'!$C$8</f>
        <v>23464.960952248384</v>
      </c>
      <c r="M10" s="57">
        <f t="shared" si="0"/>
        <v>15635.694262688819</v>
      </c>
      <c r="N10" s="55">
        <f>I10*'Inputs &amp; Outputs'!B$16*'Benefit Calculations'!G10*('Benefit Calculations'!D$4-'Benefit Calculations'!D$5)</f>
        <v>-6322.7992887808286</v>
      </c>
      <c r="O10" s="71">
        <f t="shared" si="4"/>
        <v>-1.8121217030756887</v>
      </c>
      <c r="P10" s="56">
        <f>ABS(O10*'Assumed Values'!$C$7)</f>
        <v>3452.0918443591868</v>
      </c>
      <c r="Q10" s="57">
        <f t="shared" si="1"/>
        <v>2300.2745563891467</v>
      </c>
      <c r="T10" s="68">
        <f t="shared" si="5"/>
        <v>2.8352473543559538</v>
      </c>
      <c r="U10" s="69">
        <f>T10*'Assumed Values'!$D$8</f>
        <v>0</v>
      </c>
    </row>
    <row r="11" spans="2:21" x14ac:dyDescent="0.25">
      <c r="B11" s="15" t="s">
        <v>100</v>
      </c>
      <c r="C11" s="53">
        <f>('Inputs &amp; Outputs'!B24/'Inputs &amp; Outputs'!B22)^(1/(2045-2018))-1</f>
        <v>1.6937777609579596E-2</v>
      </c>
      <c r="F11" s="54">
        <f t="shared" si="2"/>
        <v>2025</v>
      </c>
      <c r="G11" s="63">
        <f>'Inputs &amp; Outputs'!$B$23</f>
        <v>96807</v>
      </c>
      <c r="H11" s="62">
        <f t="shared" si="7"/>
        <v>2.2668450822318276E-2</v>
      </c>
      <c r="I11" s="54">
        <f>IF(AND(F11&gt;='Inputs &amp; Outputs'!B$13,F11&lt;'Inputs &amp; Outputs'!B$13+'Inputs &amp; Outputs'!B$19),1,0)</f>
        <v>1</v>
      </c>
      <c r="J11" s="55">
        <f>I11*'Inputs &amp; Outputs'!B$16*'Benefit Calculations'!G11*('Benefit Calculations'!C$4-'Benefit Calculations'!C$5)</f>
        <v>11151.992382989529</v>
      </c>
      <c r="K11" s="71">
        <f t="shared" si="3"/>
        <v>3.196174116361485</v>
      </c>
      <c r="L11" s="56">
        <f>K11*'Assumed Values'!$C$8</f>
        <v>23996.875265642029</v>
      </c>
      <c r="M11" s="57">
        <f t="shared" si="0"/>
        <v>14944.047877715302</v>
      </c>
      <c r="N11" s="55">
        <f>I11*'Inputs &amp; Outputs'!B$16*'Benefit Calculations'!G11*('Benefit Calculations'!D$4-'Benefit Calculations'!D$5)</f>
        <v>-6466.1273535179416</v>
      </c>
      <c r="O11" s="71">
        <f t="shared" si="4"/>
        <v>-1.8531996947859142</v>
      </c>
      <c r="P11" s="56">
        <f>ABS(O11*'Assumed Values'!$C$7)</f>
        <v>3530.3454185671667</v>
      </c>
      <c r="Q11" s="57">
        <f t="shared" si="1"/>
        <v>2198.5216981761519</v>
      </c>
      <c r="T11" s="68">
        <f t="shared" si="5"/>
        <v>2.8995180195772772</v>
      </c>
      <c r="U11" s="69">
        <f>T11*'Assumed Values'!$D$8</f>
        <v>0</v>
      </c>
    </row>
    <row r="12" spans="2:21" x14ac:dyDescent="0.25">
      <c r="C12" s="38"/>
      <c r="F12" s="54">
        <f t="shared" si="2"/>
        <v>2026</v>
      </c>
      <c r="G12" s="63">
        <f t="shared" si="6"/>
        <v>97962.290931504482</v>
      </c>
      <c r="H12" s="62">
        <f>$C$10</f>
        <v>1.1933960679542555E-2</v>
      </c>
      <c r="I12" s="54">
        <f>IF(AND(F12&gt;='Inputs &amp; Outputs'!B$13,F12&lt;'Inputs &amp; Outputs'!B$13+'Inputs &amp; Outputs'!B$19),1,0)</f>
        <v>1</v>
      </c>
      <c r="J12" s="55">
        <f>I12*'Inputs &amp; Outputs'!B$16*'Benefit Calculations'!G12*('Benefit Calculations'!C$4-'Benefit Calculations'!C$5)</f>
        <v>11285.079821586685</v>
      </c>
      <c r="K12" s="71">
        <f t="shared" si="3"/>
        <v>3.2343171325911149</v>
      </c>
      <c r="L12" s="56">
        <f>K12*'Assumed Values'!$C$8</f>
        <v>24283.253031494089</v>
      </c>
      <c r="M12" s="57">
        <f t="shared" si="0"/>
        <v>14133.07435278613</v>
      </c>
      <c r="N12" s="55">
        <f>I12*'Inputs &amp; Outputs'!B$16*'Benefit Calculations'!G12*('Benefit Calculations'!D$4-'Benefit Calculations'!D$5)</f>
        <v>-6543.2938631037396</v>
      </c>
      <c r="O12" s="71">
        <f t="shared" si="4"/>
        <v>-1.8753157070748296</v>
      </c>
      <c r="P12" s="56">
        <f>ABS(O12*'Assumed Values'!$C$7)</f>
        <v>3572.4764219775507</v>
      </c>
      <c r="Q12" s="57">
        <f t="shared" si="1"/>
        <v>2079.2138034348668</v>
      </c>
      <c r="T12" s="68">
        <f t="shared" si="5"/>
        <v>2.9341207536125382</v>
      </c>
      <c r="U12" s="69">
        <f>T12*'Assumed Values'!$D$8</f>
        <v>0</v>
      </c>
    </row>
    <row r="13" spans="2:21" x14ac:dyDescent="0.25">
      <c r="C13" s="38"/>
      <c r="F13" s="54">
        <f t="shared" si="2"/>
        <v>2027</v>
      </c>
      <c r="G13" s="63">
        <f t="shared" si="6"/>
        <v>99131.369059558958</v>
      </c>
      <c r="H13" s="62">
        <f t="shared" ref="H13:H36" si="8">$C$10</f>
        <v>1.1933960679542555E-2</v>
      </c>
      <c r="I13" s="54">
        <f>IF(AND(F13&gt;='Inputs &amp; Outputs'!B$13,F13&lt;'Inputs &amp; Outputs'!B$13+'Inputs &amp; Outputs'!B$19),1,0)</f>
        <v>1</v>
      </c>
      <c r="J13" s="55">
        <f>I13*'Inputs &amp; Outputs'!B$16*'Benefit Calculations'!G13*('Benefit Calculations'!C$4-'Benefit Calculations'!C$5)</f>
        <v>11419.755520442999</v>
      </c>
      <c r="K13" s="71">
        <f t="shared" si="3"/>
        <v>3.272915346076628</v>
      </c>
      <c r="L13" s="56">
        <f>K13*'Assumed Values'!$C$8</f>
        <v>24573.048418343322</v>
      </c>
      <c r="M13" s="57">
        <f t="shared" si="0"/>
        <v>13366.110192890961</v>
      </c>
      <c r="N13" s="55">
        <f>I13*'Inputs &amp; Outputs'!B$16*'Benefit Calculations'!G13*('Benefit Calculations'!D$4-'Benefit Calculations'!D$5)</f>
        <v>-6621.3812747807115</v>
      </c>
      <c r="O13" s="71">
        <f t="shared" si="4"/>
        <v>-1.8976956509847891</v>
      </c>
      <c r="P13" s="56">
        <f>ABS(O13*'Assumed Values'!$C$7)</f>
        <v>3615.1102151260234</v>
      </c>
      <c r="Q13" s="57">
        <f t="shared" si="1"/>
        <v>1966.3804291676822</v>
      </c>
      <c r="T13" s="68">
        <f t="shared" si="5"/>
        <v>2.9691364353151797</v>
      </c>
      <c r="U13" s="69">
        <f>T13*'Assumed Values'!$D$8</f>
        <v>0</v>
      </c>
    </row>
    <row r="14" spans="2:21" x14ac:dyDescent="0.25">
      <c r="C14" s="38"/>
      <c r="F14" s="54">
        <f t="shared" si="2"/>
        <v>2028</v>
      </c>
      <c r="G14" s="63">
        <f t="shared" si="6"/>
        <v>100314.39892002495</v>
      </c>
      <c r="H14" s="62">
        <f t="shared" si="8"/>
        <v>1.1933960679542555E-2</v>
      </c>
      <c r="I14" s="54">
        <f>IF(AND(F14&gt;='Inputs &amp; Outputs'!B$13,F14&lt;'Inputs &amp; Outputs'!B$13+'Inputs &amp; Outputs'!B$19),1,0)</f>
        <v>1</v>
      </c>
      <c r="J14" s="55">
        <f>I14*'Inputs &amp; Outputs'!B$16*'Benefit Calculations'!G14*('Benefit Calculations'!C$4-'Benefit Calculations'!C$5)</f>
        <v>11556.038433793952</v>
      </c>
      <c r="K14" s="71">
        <f t="shared" si="3"/>
        <v>3.311974189124177</v>
      </c>
      <c r="L14" s="56">
        <f>K14*'Assumed Values'!$C$8</f>
        <v>24866.302211944319</v>
      </c>
      <c r="M14" s="57">
        <f t="shared" si="0"/>
        <v>12640.767127449863</v>
      </c>
      <c r="N14" s="55">
        <f>I14*'Inputs &amp; Outputs'!B$16*'Benefit Calculations'!G14*('Benefit Calculations'!D$4-'Benefit Calculations'!D$5)</f>
        <v>-6700.4005785582031</v>
      </c>
      <c r="O14" s="71">
        <f t="shared" si="4"/>
        <v>-1.9203426762653804</v>
      </c>
      <c r="P14" s="56">
        <f>ABS(O14*'Assumed Values'!$C$7)</f>
        <v>3658.2527982855495</v>
      </c>
      <c r="Q14" s="57">
        <f t="shared" si="1"/>
        <v>1859.6702204583096</v>
      </c>
      <c r="T14" s="68">
        <f t="shared" si="5"/>
        <v>3.0045699927864273</v>
      </c>
      <c r="U14" s="69">
        <f>T14*'Assumed Values'!$D$8</f>
        <v>0</v>
      </c>
    </row>
    <row r="15" spans="2:21" x14ac:dyDescent="0.25">
      <c r="C15" s="1"/>
      <c r="F15" s="54">
        <f t="shared" si="2"/>
        <v>2029</v>
      </c>
      <c r="G15" s="63">
        <f t="shared" si="6"/>
        <v>101511.54701232848</v>
      </c>
      <c r="H15" s="62">
        <f t="shared" si="8"/>
        <v>1.1933960679542555E-2</v>
      </c>
      <c r="I15" s="54">
        <f>IF(AND(F15&gt;='Inputs &amp; Outputs'!B$13,F15&lt;'Inputs &amp; Outputs'!B$13+'Inputs &amp; Outputs'!B$19),1,0)</f>
        <v>1</v>
      </c>
      <c r="J15" s="55">
        <f>I15*'Inputs &amp; Outputs'!B$16*'Benefit Calculations'!G15*('Benefit Calculations'!C$4-'Benefit Calculations'!C$5)</f>
        <v>11693.947742074133</v>
      </c>
      <c r="K15" s="71">
        <f t="shared" si="3"/>
        <v>3.3514991588688452</v>
      </c>
      <c r="L15" s="56">
        <f>K15*'Assumed Values'!$C$8</f>
        <v>25163.05568478729</v>
      </c>
      <c r="M15" s="57">
        <f t="shared" si="0"/>
        <v>11954.786490942153</v>
      </c>
      <c r="N15" s="55">
        <f>I15*'Inputs &amp; Outputs'!B$16*'Benefit Calculations'!G15*('Benefit Calculations'!D$4-'Benefit Calculations'!D$5)</f>
        <v>-6780.3628955999011</v>
      </c>
      <c r="O15" s="71">
        <f t="shared" si="4"/>
        <v>-1.9432599702551789</v>
      </c>
      <c r="P15" s="56">
        <f>ABS(O15*'Assumed Values'!$C$7)</f>
        <v>3701.9102433361159</v>
      </c>
      <c r="Q15" s="57">
        <f t="shared" si="1"/>
        <v>1758.7508894824066</v>
      </c>
      <c r="T15" s="68">
        <f t="shared" si="5"/>
        <v>3.0404264129392748</v>
      </c>
      <c r="U15" s="69">
        <f>T15*'Assumed Values'!$D$8</f>
        <v>0</v>
      </c>
    </row>
    <row r="16" spans="2:21" x14ac:dyDescent="0.25">
      <c r="C16" s="1"/>
      <c r="F16" s="54">
        <f t="shared" si="2"/>
        <v>2030</v>
      </c>
      <c r="G16" s="63">
        <f t="shared" si="6"/>
        <v>102722.98182289314</v>
      </c>
      <c r="H16" s="62">
        <f t="shared" si="8"/>
        <v>1.1933960679542555E-2</v>
      </c>
      <c r="I16" s="54">
        <f>IF(AND(F16&gt;='Inputs &amp; Outputs'!B$13,F16&lt;'Inputs &amp; Outputs'!B$13+'Inputs &amp; Outputs'!B$19),1,0)</f>
        <v>1</v>
      </c>
      <c r="J16" s="55">
        <f>I16*'Inputs &amp; Outputs'!B$16*'Benefit Calculations'!G16*('Benefit Calculations'!C$4-'Benefit Calculations'!C$5)</f>
        <v>11833.50285461667</v>
      </c>
      <c r="K16" s="71">
        <f t="shared" si="3"/>
        <v>3.3914958180483059</v>
      </c>
      <c r="L16" s="56">
        <f>K16*'Assumed Values'!$C$8</f>
        <v>25463.350601906681</v>
      </c>
      <c r="M16" s="57">
        <f t="shared" si="0"/>
        <v>11306.032189586342</v>
      </c>
      <c r="N16" s="55">
        <f>I16*'Inputs &amp; Outputs'!B$16*'Benefit Calculations'!G16*('Benefit Calculations'!D$4-'Benefit Calculations'!D$5)</f>
        <v>-6861.2794797890192</v>
      </c>
      <c r="O16" s="71">
        <f t="shared" si="4"/>
        <v>-1.9664507583303332</v>
      </c>
      <c r="P16" s="56">
        <f>ABS(O16*'Assumed Values'!$C$7)</f>
        <v>3746.088694619285</v>
      </c>
      <c r="Q16" s="57">
        <f t="shared" si="1"/>
        <v>1663.3081807874771</v>
      </c>
      <c r="T16" s="68">
        <f t="shared" si="5"/>
        <v>3.0767107422003339</v>
      </c>
      <c r="U16" s="69">
        <f>T16*'Assumed Values'!$D$8</f>
        <v>0</v>
      </c>
    </row>
    <row r="17" spans="3:21" x14ac:dyDescent="0.25">
      <c r="C17" s="1"/>
      <c r="F17" s="54">
        <f t="shared" si="2"/>
        <v>2031</v>
      </c>
      <c r="G17" s="63">
        <f t="shared" si="6"/>
        <v>103948.87384885291</v>
      </c>
      <c r="H17" s="62">
        <f t="shared" si="8"/>
        <v>1.1933960679542555E-2</v>
      </c>
      <c r="I17" s="54">
        <f>IF(AND(F17&gt;='Inputs &amp; Outputs'!B$13,F17&lt;'Inputs &amp; Outputs'!B$13+'Inputs &amp; Outputs'!B$19),1,0)</f>
        <v>1</v>
      </c>
      <c r="J17" s="55">
        <f>I17*'Inputs &amp; Outputs'!B$16*'Benefit Calculations'!G17*('Benefit Calculations'!C$4-'Benefit Calculations'!C$5)</f>
        <v>11974.723412384919</v>
      </c>
      <c r="K17" s="71">
        <f t="shared" si="3"/>
        <v>3.4319697957857271</v>
      </c>
      <c r="L17" s="56">
        <f>K17*'Assumed Values'!$C$8</f>
        <v>25767.229226759238</v>
      </c>
      <c r="M17" s="57">
        <f t="shared" si="0"/>
        <v>10692.484049699537</v>
      </c>
      <c r="N17" s="55">
        <f>I17*'Inputs &amp; Outputs'!B$16*'Benefit Calculations'!G17*('Benefit Calculations'!D$4-'Benefit Calculations'!D$5)</f>
        <v>-6943.1617193121729</v>
      </c>
      <c r="O17" s="71">
        <f t="shared" si="4"/>
        <v>-1.9899183043585038</v>
      </c>
      <c r="P17" s="56">
        <f>ABS(O17*'Assumed Values'!$C$7)</f>
        <v>3790.7943698029499</v>
      </c>
      <c r="Q17" s="57">
        <f t="shared" si="1"/>
        <v>1573.044892724258</v>
      </c>
      <c r="T17" s="68">
        <f t="shared" si="5"/>
        <v>3.1134280872200795</v>
      </c>
      <c r="U17" s="69">
        <f>T17*'Assumed Values'!$D$8</f>
        <v>0</v>
      </c>
    </row>
    <row r="18" spans="3:21" x14ac:dyDescent="0.25">
      <c r="F18" s="54">
        <f t="shared" si="2"/>
        <v>2032</v>
      </c>
      <c r="G18" s="63">
        <f t="shared" si="6"/>
        <v>105189.39562204784</v>
      </c>
      <c r="H18" s="62">
        <f t="shared" si="8"/>
        <v>1.1933960679542555E-2</v>
      </c>
      <c r="I18" s="54">
        <f>IF(AND(F18&gt;='Inputs &amp; Outputs'!B$13,F18&lt;'Inputs &amp; Outputs'!B$13+'Inputs &amp; Outputs'!B$19),1,0)</f>
        <v>1</v>
      </c>
      <c r="J18" s="55">
        <f>I18*'Inputs &amp; Outputs'!B$16*'Benefit Calculations'!G18*('Benefit Calculations'!C$4-'Benefit Calculations'!C$5)</f>
        <v>12117.629290736721</v>
      </c>
      <c r="K18" s="71">
        <f t="shared" si="3"/>
        <v>3.4729267883820123</v>
      </c>
      <c r="L18" s="56">
        <f>K18*'Assumed Values'!$C$8</f>
        <v>26074.734327172147</v>
      </c>
      <c r="M18" s="57">
        <f t="shared" si="0"/>
        <v>10112.231527023636</v>
      </c>
      <c r="N18" s="55">
        <f>I18*'Inputs &amp; Outputs'!B$16*'Benefit Calculations'!G18*('Benefit Calculations'!D$4-'Benefit Calculations'!D$5)</f>
        <v>-7026.0211382621501</v>
      </c>
      <c r="O18" s="71">
        <f t="shared" si="4"/>
        <v>-2.0136659111582205</v>
      </c>
      <c r="P18" s="56">
        <f>ABS(O18*'Assumed Values'!$C$7)</f>
        <v>3836.0335607564098</v>
      </c>
      <c r="Q18" s="57">
        <f t="shared" si="1"/>
        <v>1487.6799519824156</v>
      </c>
      <c r="T18" s="68">
        <f t="shared" si="5"/>
        <v>3.1505836155915476</v>
      </c>
      <c r="U18" s="69">
        <f>T18*'Assumed Values'!$D$8</f>
        <v>0</v>
      </c>
    </row>
    <row r="19" spans="3:21" x14ac:dyDescent="0.25">
      <c r="F19" s="54">
        <f t="shared" si="2"/>
        <v>2033</v>
      </c>
      <c r="G19" s="63">
        <f t="shared" si="6"/>
        <v>106444.72173330621</v>
      </c>
      <c r="H19" s="62">
        <f t="shared" si="8"/>
        <v>1.1933960679542555E-2</v>
      </c>
      <c r="I19" s="54">
        <f>IF(AND(F19&gt;='Inputs &amp; Outputs'!B$13,F19&lt;'Inputs &amp; Outputs'!B$13+'Inputs &amp; Outputs'!B$19),1,0)</f>
        <v>1</v>
      </c>
      <c r="J19" s="55">
        <f>I19*'Inputs &amp; Outputs'!B$16*'Benefit Calculations'!G19*('Benefit Calculations'!C$4-'Benefit Calculations'!C$5)</f>
        <v>12262.240602221646</v>
      </c>
      <c r="K19" s="71">
        <f t="shared" si="3"/>
        <v>3.5143725601174931</v>
      </c>
      <c r="L19" s="56">
        <f>K19*'Assumed Values'!$C$8</f>
        <v>26385.909181362138</v>
      </c>
      <c r="M19" s="57">
        <f t="shared" si="0"/>
        <v>9563.4677574295001</v>
      </c>
      <c r="N19" s="55">
        <f>I19*'Inputs &amp; Outputs'!B$16*'Benefit Calculations'!G19*('Benefit Calculations'!D$4-'Benefit Calculations'!D$5)</f>
        <v>-7109.8693982598061</v>
      </c>
      <c r="O19" s="71">
        <f t="shared" si="4"/>
        <v>-2.0376969209637181</v>
      </c>
      <c r="P19" s="56">
        <f>ABS(O19*'Assumed Values'!$C$7)</f>
        <v>3881.812634435883</v>
      </c>
      <c r="Q19" s="57">
        <f t="shared" si="1"/>
        <v>1406.9475383487079</v>
      </c>
      <c r="T19" s="68">
        <f t="shared" si="5"/>
        <v>3.1881825565776278</v>
      </c>
      <c r="U19" s="69">
        <f>T19*'Assumed Values'!$D$8</f>
        <v>0</v>
      </c>
    </row>
    <row r="20" spans="3:21" x14ac:dyDescent="0.25">
      <c r="F20" s="54">
        <f t="shared" si="2"/>
        <v>2034</v>
      </c>
      <c r="G20" s="63">
        <f t="shared" si="6"/>
        <v>107715.02885701634</v>
      </c>
      <c r="H20" s="62">
        <f t="shared" si="8"/>
        <v>1.1933960679542555E-2</v>
      </c>
      <c r="I20" s="54">
        <f>IF(AND(F20&gt;='Inputs &amp; Outputs'!B$13,F20&lt;'Inputs &amp; Outputs'!B$13+'Inputs &amp; Outputs'!B$19),1,0)</f>
        <v>1</v>
      </c>
      <c r="J20" s="55">
        <f>I20*'Inputs &amp; Outputs'!B$16*'Benefit Calculations'!G20*('Benefit Calculations'!C$4-'Benefit Calculations'!C$5)</f>
        <v>12408.57769941165</v>
      </c>
      <c r="K20" s="71">
        <f t="shared" si="3"/>
        <v>3.5563129440631984</v>
      </c>
      <c r="L20" s="56">
        <f>K20*'Assumed Values'!$C$8</f>
        <v>26700.797584026495</v>
      </c>
      <c r="M20" s="57">
        <f t="shared" si="0"/>
        <v>9044.483930473587</v>
      </c>
      <c r="N20" s="55">
        <f>I20*'Inputs &amp; Outputs'!B$16*'Benefit Calculations'!G20*('Benefit Calculations'!D$4-'Benefit Calculations'!D$5)</f>
        <v>-7194.7183000953219</v>
      </c>
      <c r="O20" s="71">
        <f t="shared" si="4"/>
        <v>-2.0620147158953239</v>
      </c>
      <c r="P20" s="56">
        <f>ABS(O20*'Assumed Values'!$C$7)</f>
        <v>3928.1380337805922</v>
      </c>
      <c r="Q20" s="57">
        <f t="shared" si="1"/>
        <v>1330.5962569621877</v>
      </c>
      <c r="T20" s="68">
        <f t="shared" si="5"/>
        <v>3.226230201847029</v>
      </c>
      <c r="U20" s="69">
        <f>T20*'Assumed Values'!$D$8</f>
        <v>0</v>
      </c>
    </row>
    <row r="21" spans="3:21" x14ac:dyDescent="0.25">
      <c r="F21" s="54">
        <f t="shared" si="2"/>
        <v>2035</v>
      </c>
      <c r="G21" s="63">
        <f t="shared" si="6"/>
        <v>109000.49577599176</v>
      </c>
      <c r="H21" s="62">
        <f t="shared" si="8"/>
        <v>1.1933960679542555E-2</v>
      </c>
      <c r="I21" s="54">
        <f>IF(AND(F21&gt;='Inputs &amp; Outputs'!B$13,F21&lt;'Inputs &amp; Outputs'!B$13+'Inputs &amp; Outputs'!B$19),1,0)</f>
        <v>1</v>
      </c>
      <c r="J21" s="55">
        <f>I21*'Inputs &amp; Outputs'!B$16*'Benefit Calculations'!G21*('Benefit Calculations'!C$4-'Benefit Calculations'!C$5)</f>
        <v>12556.661177765476</v>
      </c>
      <c r="K21" s="71">
        <f t="shared" si="3"/>
        <v>3.5987538429017971</v>
      </c>
      <c r="L21" s="56">
        <f>K21*'Assumed Values'!$C$8</f>
        <v>27019.443852506694</v>
      </c>
      <c r="M21" s="57">
        <f t="shared" si="0"/>
        <v>8553.6639682865552</v>
      </c>
      <c r="N21" s="55">
        <f>I21*'Inputs &amp; Outputs'!B$16*'Benefit Calculations'!G21*('Benefit Calculations'!D$4-'Benefit Calculations'!D$5)</f>
        <v>-7280.5797853890444</v>
      </c>
      <c r="O21" s="71">
        <f t="shared" si="4"/>
        <v>-2.0866227184354567</v>
      </c>
      <c r="P21" s="56">
        <f>ABS(O21*'Assumed Values'!$C$7)</f>
        <v>3975.0162786195451</v>
      </c>
      <c r="Q21" s="57">
        <f t="shared" si="1"/>
        <v>1258.388355488898</v>
      </c>
      <c r="T21" s="68">
        <f t="shared" si="5"/>
        <v>3.2647319062190236</v>
      </c>
      <c r="U21" s="69">
        <f>T21*'Assumed Values'!$D$8</f>
        <v>0</v>
      </c>
    </row>
    <row r="22" spans="3:21" x14ac:dyDescent="0.25">
      <c r="F22" s="54">
        <f t="shared" si="2"/>
        <v>2036</v>
      </c>
      <c r="G22" s="63">
        <f t="shared" si="6"/>
        <v>110301.30340663309</v>
      </c>
      <c r="H22" s="62">
        <f t="shared" si="8"/>
        <v>1.1933960679542555E-2</v>
      </c>
      <c r="I22" s="54">
        <f>IF(AND(F22&gt;='Inputs &amp; Outputs'!B$13,F22&lt;'Inputs &amp; Outputs'!B$13+'Inputs &amp; Outputs'!B$19),1,0)</f>
        <v>1</v>
      </c>
      <c r="J22" s="55">
        <f>I22*'Inputs &amp; Outputs'!B$16*'Benefit Calculations'!G22*('Benefit Calculations'!C$4-'Benefit Calculations'!C$5)</f>
        <v>12706.511878527266</v>
      </c>
      <c r="K22" s="71">
        <f t="shared" si="3"/>
        <v>3.6417012297583389</v>
      </c>
      <c r="L22" s="56">
        <f>K22*'Assumed Values'!$C$8</f>
        <v>27341.892833025609</v>
      </c>
      <c r="M22" s="57">
        <f t="shared" si="0"/>
        <v>8089.4794932243967</v>
      </c>
      <c r="N22" s="55">
        <f>I22*'Inputs &amp; Outputs'!B$16*'Benefit Calculations'!G22*('Benefit Calculations'!D$4-'Benefit Calculations'!D$5)</f>
        <v>-7367.4659382721484</v>
      </c>
      <c r="O22" s="71">
        <f t="shared" si="4"/>
        <v>-2.1115243919103053</v>
      </c>
      <c r="P22" s="56">
        <f>ABS(O22*'Assumed Values'!$C$7)</f>
        <v>4022.4539665891316</v>
      </c>
      <c r="Q22" s="57">
        <f t="shared" si="1"/>
        <v>1190.098983778408</v>
      </c>
      <c r="T22" s="68">
        <f t="shared" si="5"/>
        <v>3.3036930884170892</v>
      </c>
      <c r="U22" s="69">
        <f>T22*'Assumed Values'!$D$8</f>
        <v>0</v>
      </c>
    </row>
    <row r="23" spans="3:21" x14ac:dyDescent="0.25">
      <c r="F23" s="54">
        <f t="shared" si="2"/>
        <v>2037</v>
      </c>
      <c r="G23" s="63">
        <f t="shared" si="6"/>
        <v>111617.63482439014</v>
      </c>
      <c r="H23" s="62">
        <f t="shared" si="8"/>
        <v>1.1933960679542555E-2</v>
      </c>
      <c r="I23" s="54">
        <f>IF(AND(F23&gt;='Inputs &amp; Outputs'!B$13,F23&lt;'Inputs &amp; Outputs'!B$13+'Inputs &amp; Outputs'!B$19),1,0)</f>
        <v>1</v>
      </c>
      <c r="J23" s="55">
        <f>I23*'Inputs &amp; Outputs'!B$16*'Benefit Calculations'!G23*('Benefit Calculations'!C$4-'Benefit Calculations'!C$5)</f>
        <v>12858.150891659752</v>
      </c>
      <c r="K23" s="71">
        <f t="shared" si="3"/>
        <v>3.6851611490409173</v>
      </c>
      <c r="L23" s="56">
        <f>K23*'Assumed Values'!$C$8</f>
        <v>27668.189906999207</v>
      </c>
      <c r="M23" s="57">
        <f t="shared" si="0"/>
        <v>7650.4850686116852</v>
      </c>
      <c r="N23" s="55">
        <f>I23*'Inputs &amp; Outputs'!B$16*'Benefit Calculations'!G23*('Benefit Calculations'!D$4-'Benefit Calculations'!D$5)</f>
        <v>-7455.3889870873581</v>
      </c>
      <c r="O23" s="71">
        <f t="shared" si="4"/>
        <v>-2.1367232409772585</v>
      </c>
      <c r="P23" s="56">
        <f>ABS(O23*'Assumed Values'!$C$7)</f>
        <v>4070.4577740616774</v>
      </c>
      <c r="Q23" s="57">
        <f t="shared" si="1"/>
        <v>1125.5154936968067</v>
      </c>
      <c r="T23" s="68">
        <f t="shared" si="5"/>
        <v>3.3431192318315355</v>
      </c>
      <c r="U23" s="69">
        <f>T23*'Assumed Values'!$D$8</f>
        <v>0</v>
      </c>
    </row>
    <row r="24" spans="3:21" x14ac:dyDescent="0.25">
      <c r="F24" s="54">
        <f t="shared" si="2"/>
        <v>2038</v>
      </c>
      <c r="G24" s="63">
        <f t="shared" si="6"/>
        <v>112949.67528952795</v>
      </c>
      <c r="H24" s="62">
        <f t="shared" si="8"/>
        <v>1.1933960679542555E-2</v>
      </c>
      <c r="I24" s="54">
        <f>IF(AND(F24&gt;='Inputs &amp; Outputs'!B$13,F24&lt;'Inputs &amp; Outputs'!B$13+'Inputs &amp; Outputs'!B$19),1,0)</f>
        <v>1</v>
      </c>
      <c r="J24" s="55">
        <f>I24*'Inputs &amp; Outputs'!B$16*'Benefit Calculations'!G24*('Benefit Calculations'!C$4-'Benefit Calculations'!C$5)</f>
        <v>13011.599558812444</v>
      </c>
      <c r="K24" s="71">
        <f t="shared" si="3"/>
        <v>3.7291397172913494</v>
      </c>
      <c r="L24" s="56">
        <f>K24*'Assumed Values'!$C$8</f>
        <v>27998.38099742345</v>
      </c>
      <c r="M24" s="57">
        <f t="shared" si="0"/>
        <v>7235.3136977569384</v>
      </c>
      <c r="N24" s="55">
        <f>I24*'Inputs &amp; Outputs'!B$16*'Benefit Calculations'!G24*('Benefit Calculations'!D$4-'Benefit Calculations'!D$5)</f>
        <v>-7544.3613061099522</v>
      </c>
      <c r="O24" s="71">
        <f t="shared" si="4"/>
        <v>-2.1622228121181455</v>
      </c>
      <c r="P24" s="56">
        <f>ABS(O24*'Assumed Values'!$C$7)</f>
        <v>4119.0344570850675</v>
      </c>
      <c r="Q24" s="57">
        <f t="shared" si="1"/>
        <v>1064.4367769558883</v>
      </c>
      <c r="T24" s="68">
        <f t="shared" si="5"/>
        <v>3.3830158852912353</v>
      </c>
      <c r="U24" s="69">
        <f>T24*'Assumed Values'!$D$8</f>
        <v>0</v>
      </c>
    </row>
    <row r="25" spans="3:21" x14ac:dyDescent="0.25">
      <c r="F25" s="54">
        <f t="shared" si="2"/>
        <v>2039</v>
      </c>
      <c r="G25" s="63">
        <f t="shared" si="6"/>
        <v>114297.61227320027</v>
      </c>
      <c r="H25" s="62">
        <f t="shared" si="8"/>
        <v>1.1933960679542555E-2</v>
      </c>
      <c r="I25" s="54">
        <f>IF(AND(F25&gt;='Inputs &amp; Outputs'!B$13,F25&lt;'Inputs &amp; Outputs'!B$13+'Inputs &amp; Outputs'!B$19),1,0)</f>
        <v>1</v>
      </c>
      <c r="J25" s="55">
        <f>I25*'Inputs &amp; Outputs'!B$16*'Benefit Calculations'!G25*('Benefit Calculations'!C$4-'Benefit Calculations'!C$5)</f>
        <v>13166.879476325264</v>
      </c>
      <c r="K25" s="71">
        <f t="shared" si="3"/>
        <v>3.7736431240460249</v>
      </c>
      <c r="L25" s="56">
        <f>K25*'Assumed Values'!$C$8</f>
        <v>28332.512575337554</v>
      </c>
      <c r="M25" s="57">
        <f t="shared" si="0"/>
        <v>6842.6725672244165</v>
      </c>
      <c r="N25" s="55">
        <f>I25*'Inputs &amp; Outputs'!B$16*'Benefit Calculations'!G25*('Benefit Calculations'!D$4-'Benefit Calculations'!D$5)</f>
        <v>-7634.3954172893309</v>
      </c>
      <c r="O25" s="71">
        <f t="shared" si="4"/>
        <v>-2.1880266941383733</v>
      </c>
      <c r="P25" s="56">
        <f>ABS(O25*'Assumed Values'!$C$7)</f>
        <v>4168.1908523336015</v>
      </c>
      <c r="Q25" s="57">
        <f t="shared" si="1"/>
        <v>1006.6726388765782</v>
      </c>
      <c r="T25" s="68">
        <f t="shared" si="5"/>
        <v>3.4233886638445687</v>
      </c>
      <c r="U25" s="69">
        <f>T25*'Assumed Values'!$D$8</f>
        <v>0</v>
      </c>
    </row>
    <row r="26" spans="3:21" x14ac:dyDescent="0.25">
      <c r="F26" s="54">
        <f t="shared" si="2"/>
        <v>2040</v>
      </c>
      <c r="G26" s="63">
        <f t="shared" si="6"/>
        <v>115661.63548383424</v>
      </c>
      <c r="H26" s="62">
        <f t="shared" si="8"/>
        <v>1.1933960679542555E-2</v>
      </c>
      <c r="I26" s="54">
        <f>IF(AND(F26&gt;='Inputs &amp; Outputs'!B$13,F26&lt;'Inputs &amp; Outputs'!B$13+'Inputs &amp; Outputs'!B$19),1,0)</f>
        <v>1</v>
      </c>
      <c r="J26" s="55">
        <f>I26*'Inputs &amp; Outputs'!B$16*'Benefit Calculations'!G26*('Benefit Calculations'!C$4-'Benefit Calculations'!C$5)</f>
        <v>13324.012498268004</v>
      </c>
      <c r="K26" s="71">
        <f t="shared" si="3"/>
        <v>3.8186776327070153</v>
      </c>
      <c r="L26" s="56">
        <f>K26*'Assumed Values'!$C$8</f>
        <v>28670.631666364272</v>
      </c>
      <c r="M26" s="57">
        <f t="shared" si="0"/>
        <v>6471.3390211071546</v>
      </c>
      <c r="N26" s="55">
        <f>I26*'Inputs &amp; Outputs'!B$16*'Benefit Calculations'!G26*('Benefit Calculations'!D$4-'Benefit Calculations'!D$5)</f>
        <v>-7725.5039920113404</v>
      </c>
      <c r="O26" s="71">
        <f t="shared" si="4"/>
        <v>-2.2141385186720099</v>
      </c>
      <c r="P26" s="56">
        <f>ABS(O26*'Assumed Values'!$C$7)</f>
        <v>4217.9338780701792</v>
      </c>
      <c r="Q26" s="57">
        <f t="shared" si="1"/>
        <v>952.04320613654443</v>
      </c>
      <c r="T26" s="68">
        <f t="shared" si="5"/>
        <v>3.4642432495496811</v>
      </c>
      <c r="U26" s="69">
        <f>T26*'Assumed Values'!$D$8</f>
        <v>0</v>
      </c>
    </row>
    <row r="27" spans="3:21" x14ac:dyDescent="0.25">
      <c r="F27" s="54">
        <f t="shared" si="2"/>
        <v>2041</v>
      </c>
      <c r="G27" s="63">
        <f t="shared" si="6"/>
        <v>117041.9368938299</v>
      </c>
      <c r="H27" s="62">
        <f t="shared" si="8"/>
        <v>1.1933960679542555E-2</v>
      </c>
      <c r="I27" s="54">
        <f>IF(AND(F27&gt;='Inputs &amp; Outputs'!B$13,F27&lt;'Inputs &amp; Outputs'!B$13+'Inputs &amp; Outputs'!B$19),1,0)</f>
        <v>1</v>
      </c>
      <c r="J27" s="55">
        <f>I27*'Inputs &amp; Outputs'!B$16*'Benefit Calculations'!G27*('Benefit Calculations'!C$4-'Benefit Calculations'!C$5)</f>
        <v>13483.020739516069</v>
      </c>
      <c r="K27" s="71">
        <f t="shared" si="3"/>
        <v>3.8642495814235893</v>
      </c>
      <c r="L27" s="56">
        <f>K27*'Assumed Values'!$C$8</f>
        <v>29012.785857328308</v>
      </c>
      <c r="M27" s="57">
        <f t="shared" si="0"/>
        <v>6120.1567537654546</v>
      </c>
      <c r="N27" s="55">
        <f>I27*'Inputs &amp; Outputs'!B$16*'Benefit Calculations'!G27*('Benefit Calculations'!D$4-'Benefit Calculations'!D$5)</f>
        <v>-7817.6998528816539</v>
      </c>
      <c r="O27" s="71">
        <f t="shared" si="4"/>
        <v>-2.2405619606929021</v>
      </c>
      <c r="P27" s="56">
        <f>ABS(O27*'Assumed Values'!$C$7)</f>
        <v>4268.2705351199784</v>
      </c>
      <c r="Q27" s="57">
        <f t="shared" si="1"/>
        <v>900.37836665776013</v>
      </c>
      <c r="T27" s="68">
        <f t="shared" si="5"/>
        <v>3.5055853922741775</v>
      </c>
      <c r="U27" s="69">
        <f>T27*'Assumed Values'!$D$8</f>
        <v>0</v>
      </c>
    </row>
    <row r="28" spans="3:21" x14ac:dyDescent="0.25">
      <c r="F28" s="54">
        <f t="shared" si="2"/>
        <v>2042</v>
      </c>
      <c r="G28" s="63">
        <f t="shared" si="6"/>
        <v>118438.71076657837</v>
      </c>
      <c r="H28" s="62">
        <f t="shared" si="8"/>
        <v>1.1933960679542555E-2</v>
      </c>
      <c r="I28" s="54">
        <f>IF(AND(F28&gt;='Inputs &amp; Outputs'!B$13,F28&lt;'Inputs &amp; Outputs'!B$13+'Inputs &amp; Outputs'!B$19),1,0)</f>
        <v>1</v>
      </c>
      <c r="J28" s="55">
        <f>I28*'Inputs &amp; Outputs'!B$16*'Benefit Calculations'!G28*('Benefit Calculations'!C$4-'Benefit Calculations'!C$5)</f>
        <v>13643.926578862911</v>
      </c>
      <c r="K28" s="71">
        <f t="shared" si="3"/>
        <v>3.9103653839842378</v>
      </c>
      <c r="L28" s="56">
        <f>K28*'Assumed Values'!$C$8</f>
        <v>29359.023302953658</v>
      </c>
      <c r="M28" s="57">
        <f t="shared" si="0"/>
        <v>5788.0322091752605</v>
      </c>
      <c r="N28" s="55">
        <f>I28*'Inputs &amp; Outputs'!B$16*'Benefit Calculations'!G28*('Benefit Calculations'!D$4-'Benefit Calculations'!D$5)</f>
        <v>-7910.9959755304089</v>
      </c>
      <c r="O28" s="71">
        <f t="shared" si="4"/>
        <v>-2.2673007390318904</v>
      </c>
      <c r="P28" s="56">
        <f>ABS(O28*'Assumed Values'!$C$7)</f>
        <v>4319.2079078557517</v>
      </c>
      <c r="Q28" s="57">
        <f t="shared" si="1"/>
        <v>851.51723988987374</v>
      </c>
      <c r="T28" s="68">
        <f t="shared" si="5"/>
        <v>3.547420910504357</v>
      </c>
      <c r="U28" s="69">
        <f>T28*'Assumed Values'!$D$8</f>
        <v>0</v>
      </c>
    </row>
    <row r="29" spans="3:21" x14ac:dyDescent="0.25">
      <c r="F29" s="54">
        <f t="shared" si="2"/>
        <v>2043</v>
      </c>
      <c r="G29" s="63">
        <f t="shared" si="6"/>
        <v>119852.15368380243</v>
      </c>
      <c r="H29" s="62">
        <f t="shared" si="8"/>
        <v>1.1933960679542555E-2</v>
      </c>
      <c r="I29" s="54">
        <f>IF(AND(F29&gt;='Inputs &amp; Outputs'!B$13,F29&lt;'Inputs &amp; Outputs'!B$13+'Inputs &amp; Outputs'!B$19),1,0)</f>
        <v>0</v>
      </c>
      <c r="J29" s="55">
        <f>I29*'Inputs &amp; Outputs'!B$16*'Benefit Calculations'!G29*('Benefit Calculations'!C$4-'Benefit Calculations'!C$5)</f>
        <v>0</v>
      </c>
      <c r="K29" s="71">
        <f t="shared" si="3"/>
        <v>0</v>
      </c>
      <c r="L29" s="56">
        <f>K29*'Assumed Values'!$C$8</f>
        <v>0</v>
      </c>
      <c r="M29" s="57">
        <f t="shared" si="0"/>
        <v>0</v>
      </c>
      <c r="N29" s="55">
        <f>I29*'Inputs &amp; Outputs'!B$16*'Benefit Calculations'!G29*('Benefit Calculations'!D$4-'Benefit Calculations'!D$5)</f>
        <v>0</v>
      </c>
      <c r="O29" s="71">
        <f t="shared" si="4"/>
        <v>0</v>
      </c>
      <c r="P29" s="56">
        <f>ABS(O29*'Assumed Values'!$C$7)</f>
        <v>0</v>
      </c>
      <c r="Q29" s="57">
        <f t="shared" si="1"/>
        <v>0</v>
      </c>
      <c r="T29" s="68">
        <f t="shared" si="5"/>
        <v>0</v>
      </c>
      <c r="U29" s="69">
        <f>T29*'Assumed Values'!$D$8</f>
        <v>0</v>
      </c>
    </row>
    <row r="30" spans="3:21" x14ac:dyDescent="0.25">
      <c r="F30" s="54">
        <f t="shared" si="2"/>
        <v>2044</v>
      </c>
      <c r="G30" s="63">
        <f t="shared" si="6"/>
        <v>121282.46457322342</v>
      </c>
      <c r="H30" s="62">
        <f t="shared" si="8"/>
        <v>1.1933960679542555E-2</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x14ac:dyDescent="0.25">
      <c r="F31" s="54">
        <f t="shared" si="2"/>
        <v>2045</v>
      </c>
      <c r="G31" s="63">
        <f>'Inputs &amp; Outputs'!$B$24</f>
        <v>130230</v>
      </c>
      <c r="H31" s="62">
        <f t="shared" si="8"/>
        <v>1.1933960679542555E-2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x14ac:dyDescent="0.25">
      <c r="F32" s="54">
        <f t="shared" si="2"/>
        <v>2046</v>
      </c>
      <c r="G32" s="63">
        <f t="shared" si="6"/>
        <v>131784.15969929684</v>
      </c>
      <c r="H32" s="62">
        <f t="shared" si="8"/>
        <v>1.1933960679542555E-2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x14ac:dyDescent="0.25">
      <c r="F33" s="54">
        <f t="shared" si="2"/>
        <v>2047</v>
      </c>
      <c r="G33" s="63">
        <f t="shared" si="6"/>
        <v>133356.86667933481</v>
      </c>
      <c r="H33" s="62">
        <f t="shared" si="8"/>
        <v>1.1933960679542555E-2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x14ac:dyDescent="0.25">
      <c r="F34" s="54">
        <f t="shared" si="2"/>
        <v>2048</v>
      </c>
      <c r="G34" s="63">
        <f t="shared" si="6"/>
        <v>134948.34228263298</v>
      </c>
      <c r="H34" s="62">
        <f t="shared" si="8"/>
        <v>1.1933960679542555E-2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x14ac:dyDescent="0.25">
      <c r="F35" s="54">
        <f t="shared" si="2"/>
        <v>2049</v>
      </c>
      <c r="G35" s="63">
        <f t="shared" si="6"/>
        <v>136558.81049320337</v>
      </c>
      <c r="H35" s="62">
        <f t="shared" si="8"/>
        <v>1.1933960679542555E-2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x14ac:dyDescent="0.25">
      <c r="F36" s="54">
        <f t="shared" si="2"/>
        <v>2050</v>
      </c>
      <c r="G36" s="63">
        <f t="shared" si="6"/>
        <v>138188.49796807437</v>
      </c>
      <c r="H36" s="62">
        <f t="shared" si="8"/>
        <v>1.1933960679542555E-2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x14ac:dyDescent="0.25">
      <c r="F37" s="54" t="s">
        <v>101</v>
      </c>
      <c r="G37" s="54"/>
      <c r="H37" s="54"/>
      <c r="I37" s="54"/>
      <c r="J37" s="55">
        <f>SUM(J4:J36)</f>
        <v>244022.13004430747</v>
      </c>
      <c r="K37" s="55">
        <f t="shared" ref="K37:Q37" si="9">SUM(K4:K36)</f>
        <v>69.937029104922431</v>
      </c>
      <c r="L37" s="58">
        <f t="shared" si="9"/>
        <v>525087.21451975754</v>
      </c>
      <c r="M37" s="59">
        <f t="shared" si="9"/>
        <v>206503.6742393832</v>
      </c>
      <c r="N37" s="55">
        <f t="shared" si="9"/>
        <v>-141488.45477602675</v>
      </c>
      <c r="O37" s="55">
        <f t="shared" si="9"/>
        <v>-40.550757334528555</v>
      </c>
      <c r="P37" s="55">
        <f t="shared" si="9"/>
        <v>77249.192722276915</v>
      </c>
      <c r="Q37" s="59">
        <f t="shared" si="9"/>
        <v>30380.176260368964</v>
      </c>
      <c r="T37" s="68">
        <f>SUM(T4:T36)</f>
        <v>63.445753811519957</v>
      </c>
      <c r="U37" s="69">
        <f>SUM(U4:U36)</f>
        <v>0</v>
      </c>
    </row>
    <row r="39" spans="6:21" x14ac:dyDescent="0.25">
      <c r="O39" s="60"/>
    </row>
    <row r="40" spans="6:21" x14ac:dyDescent="0.25">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102</v>
      </c>
    </row>
    <row r="3" spans="2:4" x14ac:dyDescent="0.25">
      <c r="B3" s="2"/>
    </row>
    <row r="4" spans="2:4" x14ac:dyDescent="0.25">
      <c r="B4" s="3" t="s">
        <v>103</v>
      </c>
    </row>
    <row r="5" spans="2:4" x14ac:dyDescent="0.25">
      <c r="B5" s="3"/>
    </row>
    <row r="6" spans="2:4" x14ac:dyDescent="0.25">
      <c r="B6" s="26" t="s">
        <v>104</v>
      </c>
      <c r="C6" s="26" t="s">
        <v>105</v>
      </c>
      <c r="D6" s="2"/>
    </row>
    <row r="7" spans="2:4" x14ac:dyDescent="0.25">
      <c r="B7" s="25" t="s">
        <v>106</v>
      </c>
      <c r="C7" s="51">
        <v>1905</v>
      </c>
      <c r="D7" s="69"/>
    </row>
    <row r="8" spans="2:4" x14ac:dyDescent="0.25">
      <c r="B8" s="25" t="s">
        <v>107</v>
      </c>
      <c r="C8" s="51">
        <v>7508</v>
      </c>
      <c r="D8" s="69"/>
    </row>
    <row r="9" spans="2:4" x14ac:dyDescent="0.25">
      <c r="C9" s="24"/>
    </row>
    <row r="10" spans="2:4" x14ac:dyDescent="0.25">
      <c r="C10" s="24"/>
    </row>
    <row r="11" spans="2:4" x14ac:dyDescent="0.25">
      <c r="B11" s="2" t="s">
        <v>108</v>
      </c>
    </row>
    <row r="12" spans="2:4" ht="75" x14ac:dyDescent="0.2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topLeftCell="A19" workbookViewId="0">
      <selection activeCell="N15" sqref="N15"/>
    </sheetView>
  </sheetViews>
  <sheetFormatPr defaultRowHeight="15" x14ac:dyDescent="0.2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x14ac:dyDescent="0.25">
      <c r="A1" s="99" t="s">
        <v>111</v>
      </c>
      <c r="B1" s="99"/>
      <c r="C1" s="99"/>
      <c r="D1" s="99"/>
      <c r="E1" s="99"/>
      <c r="F1" s="99"/>
      <c r="G1" s="99"/>
      <c r="H1" s="99"/>
      <c r="I1" s="99"/>
      <c r="J1" s="99"/>
    </row>
    <row r="2" spans="1:14" x14ac:dyDescent="0.25">
      <c r="A2" s="72" t="s">
        <v>112</v>
      </c>
      <c r="B2" s="72" t="s">
        <v>113</v>
      </c>
      <c r="C2" s="91" t="s">
        <v>55</v>
      </c>
      <c r="D2" s="91" t="s">
        <v>114</v>
      </c>
      <c r="E2" s="91" t="s">
        <v>115</v>
      </c>
      <c r="F2" s="91" t="s">
        <v>116</v>
      </c>
      <c r="G2" s="91" t="s">
        <v>117</v>
      </c>
      <c r="H2" s="91" t="s">
        <v>118</v>
      </c>
      <c r="I2" s="91" t="s">
        <v>119</v>
      </c>
      <c r="J2" s="91" t="s">
        <v>120</v>
      </c>
    </row>
    <row r="3" spans="1:14" x14ac:dyDescent="0.25">
      <c r="A3" s="73" t="s">
        <v>121</v>
      </c>
      <c r="B3" s="92">
        <v>0</v>
      </c>
      <c r="C3" s="92">
        <v>0.1543390005827</v>
      </c>
      <c r="D3" s="92">
        <v>0.1766420006752</v>
      </c>
      <c r="E3" s="92">
        <v>0.14361999928950001</v>
      </c>
      <c r="F3" s="92">
        <v>0.1637820005417</v>
      </c>
      <c r="G3" s="92">
        <v>0.15261900424960001</v>
      </c>
      <c r="H3" s="92">
        <v>0.24541099369530001</v>
      </c>
      <c r="I3" s="92">
        <v>0.15000799298289999</v>
      </c>
      <c r="J3" s="92">
        <v>0.2771849930286</v>
      </c>
    </row>
    <row r="4" spans="1:14" x14ac:dyDescent="0.25">
      <c r="A4" s="73" t="s">
        <v>121</v>
      </c>
      <c r="B4" s="92">
        <v>2.5</v>
      </c>
      <c r="C4" s="92">
        <v>0.1086599975824</v>
      </c>
      <c r="D4" s="92">
        <v>0.12391699850560001</v>
      </c>
      <c r="E4" s="92">
        <v>0.10345199704169999</v>
      </c>
      <c r="F4" s="92">
        <v>0.11453600227830001</v>
      </c>
      <c r="G4" s="92">
        <v>0.1079860031605</v>
      </c>
      <c r="H4" s="92">
        <v>0.1695860028267</v>
      </c>
      <c r="I4" s="92">
        <v>0.1054000034928</v>
      </c>
      <c r="J4" s="92">
        <v>0.19025099277499999</v>
      </c>
      <c r="L4" s="2" t="s">
        <v>122</v>
      </c>
      <c r="N4" t="s">
        <v>123</v>
      </c>
    </row>
    <row r="5" spans="1:14" x14ac:dyDescent="0.25">
      <c r="A5" s="73" t="s">
        <v>121</v>
      </c>
      <c r="B5" s="92">
        <v>7.5</v>
      </c>
      <c r="C5" s="92">
        <v>8.0234602093699994E-2</v>
      </c>
      <c r="D5" s="92">
        <v>9.1219902038600004E-2</v>
      </c>
      <c r="E5" s="92">
        <v>7.7690400183200004E-2</v>
      </c>
      <c r="F5" s="92">
        <v>8.4131397306899905E-2</v>
      </c>
      <c r="G5" s="92">
        <v>8.0075398087499999E-2</v>
      </c>
      <c r="H5" s="92">
        <v>0.12355700135229999</v>
      </c>
      <c r="I5" s="92">
        <v>7.7676698565499996E-2</v>
      </c>
      <c r="J5" s="92">
        <v>0.13789600133899901</v>
      </c>
      <c r="L5" t="s">
        <v>62</v>
      </c>
    </row>
    <row r="6" spans="1:14" x14ac:dyDescent="0.25">
      <c r="A6" s="73" t="s">
        <v>121</v>
      </c>
      <c r="B6" s="92">
        <v>12.5</v>
      </c>
      <c r="C6" s="92">
        <v>5.9946801513399997E-2</v>
      </c>
      <c r="D6" s="92">
        <v>6.8060502409899998E-2</v>
      </c>
      <c r="E6" s="92">
        <v>5.8113399892999899E-2</v>
      </c>
      <c r="F6" s="92">
        <v>6.2804102897599995E-2</v>
      </c>
      <c r="G6" s="92">
        <v>5.9942800551699899E-2</v>
      </c>
      <c r="H6" s="92">
        <v>9.2500299215299994E-2</v>
      </c>
      <c r="I6" s="92">
        <v>5.7944800704699997E-2</v>
      </c>
      <c r="J6" s="92">
        <v>0.1032399982214</v>
      </c>
      <c r="L6" t="s">
        <v>121</v>
      </c>
    </row>
    <row r="7" spans="1:14" x14ac:dyDescent="0.25">
      <c r="A7" s="73" t="s">
        <v>121</v>
      </c>
      <c r="B7" s="92">
        <v>17.5</v>
      </c>
      <c r="C7" s="92">
        <v>5.1043801009699998E-2</v>
      </c>
      <c r="D7" s="92">
        <v>5.7916298508599903E-2</v>
      </c>
      <c r="E7" s="92">
        <v>4.9766298383499899E-2</v>
      </c>
      <c r="F7" s="92">
        <v>5.3397301584499998E-2</v>
      </c>
      <c r="G7" s="92">
        <v>5.1048498600699897E-2</v>
      </c>
      <c r="H7" s="92">
        <v>7.8144997358299995E-2</v>
      </c>
      <c r="I7" s="92">
        <v>4.9361400306199898E-2</v>
      </c>
      <c r="J7" s="92">
        <v>8.7070100009399895E-2</v>
      </c>
    </row>
    <row r="8" spans="1:14" x14ac:dyDescent="0.25">
      <c r="A8" s="73" t="s">
        <v>121</v>
      </c>
      <c r="B8" s="92">
        <v>22.5</v>
      </c>
      <c r="C8" s="92">
        <v>5.1097799092499903E-2</v>
      </c>
      <c r="D8" s="92">
        <v>5.7926900684799998E-2</v>
      </c>
      <c r="E8" s="92">
        <v>5.0204999744899899E-2</v>
      </c>
      <c r="F8" s="92">
        <v>5.3334001451699899E-2</v>
      </c>
      <c r="G8" s="92">
        <v>5.11665008962E-2</v>
      </c>
      <c r="H8" s="92">
        <v>7.7644199132899994E-2</v>
      </c>
      <c r="I8" s="92">
        <v>4.93994988500999E-2</v>
      </c>
      <c r="J8" s="92">
        <v>8.62753018737E-2</v>
      </c>
    </row>
    <row r="9" spans="1:14" x14ac:dyDescent="0.25">
      <c r="A9" s="73" t="s">
        <v>121</v>
      </c>
      <c r="B9" s="92">
        <v>27.5</v>
      </c>
      <c r="C9" s="92">
        <v>5.1728200167399999E-2</v>
      </c>
      <c r="D9" s="92">
        <v>5.8605000376699898E-2</v>
      </c>
      <c r="E9" s="92">
        <v>5.1094498485299997E-2</v>
      </c>
      <c r="F9" s="92">
        <v>5.3906898945599899E-2</v>
      </c>
      <c r="G9" s="92">
        <v>5.1847200840699999E-2</v>
      </c>
      <c r="H9" s="92">
        <v>7.8214697539799996E-2</v>
      </c>
      <c r="I9" s="92">
        <v>4.9995001405499999E-2</v>
      </c>
      <c r="J9" s="92">
        <v>8.6740396916899998E-2</v>
      </c>
    </row>
    <row r="10" spans="1:14" x14ac:dyDescent="0.25">
      <c r="A10" s="73" t="s">
        <v>121</v>
      </c>
      <c r="B10" s="92">
        <v>32.5</v>
      </c>
      <c r="C10" s="92">
        <v>5.4905500263E-2</v>
      </c>
      <c r="D10" s="92">
        <v>6.2172401696400002E-2</v>
      </c>
      <c r="E10" s="92">
        <v>5.4688699543500002E-2</v>
      </c>
      <c r="F10" s="92">
        <v>5.7079099118700002E-2</v>
      </c>
      <c r="G10" s="92">
        <v>5.5083200335500002E-2</v>
      </c>
      <c r="H10" s="92">
        <v>8.2320302724799996E-2</v>
      </c>
      <c r="I10" s="92">
        <v>5.30656985939E-2</v>
      </c>
      <c r="J10" s="92">
        <v>9.0985298156700006E-2</v>
      </c>
    </row>
    <row r="11" spans="1:14" x14ac:dyDescent="0.25">
      <c r="A11" s="73" t="s">
        <v>121</v>
      </c>
      <c r="B11" s="92">
        <v>37.5</v>
      </c>
      <c r="C11" s="92">
        <v>5.75537011027E-2</v>
      </c>
      <c r="D11" s="92">
        <v>6.5147697925600004E-2</v>
      </c>
      <c r="E11" s="92">
        <v>5.7672001421499898E-2</v>
      </c>
      <c r="F11" s="92">
        <v>5.9726800769599998E-2</v>
      </c>
      <c r="G11" s="92">
        <v>5.7777501642699999E-2</v>
      </c>
      <c r="H11" s="92">
        <v>8.5759103298199996E-2</v>
      </c>
      <c r="I11" s="92">
        <v>5.5625900626200001E-2</v>
      </c>
      <c r="J11" s="92">
        <v>9.4549298286399894E-2</v>
      </c>
    </row>
    <row r="12" spans="1:14" x14ac:dyDescent="0.25">
      <c r="A12" s="73" t="s">
        <v>121</v>
      </c>
      <c r="B12" s="92">
        <v>42.5</v>
      </c>
      <c r="C12" s="92">
        <v>5.9613399207599997E-2</v>
      </c>
      <c r="D12" s="92">
        <v>6.7461803555499994E-2</v>
      </c>
      <c r="E12" s="92">
        <v>5.9992399066699897E-2</v>
      </c>
      <c r="F12" s="92">
        <v>6.17861002684E-2</v>
      </c>
      <c r="G12" s="92">
        <v>5.9873100370199897E-2</v>
      </c>
      <c r="H12" s="92">
        <v>8.8433697819699994E-2</v>
      </c>
      <c r="I12" s="92">
        <v>5.7617198675899997E-2</v>
      </c>
      <c r="J12" s="92">
        <v>9.7321398556200006E-2</v>
      </c>
    </row>
    <row r="13" spans="1:14" x14ac:dyDescent="0.25">
      <c r="A13" s="73" t="s">
        <v>121</v>
      </c>
      <c r="B13" s="92">
        <v>47.5</v>
      </c>
      <c r="C13" s="92">
        <v>6.0430999845300003E-2</v>
      </c>
      <c r="D13" s="92">
        <v>6.8381600081900001E-2</v>
      </c>
      <c r="E13" s="92">
        <v>6.0961898416300002E-2</v>
      </c>
      <c r="F13" s="92">
        <v>6.2589801847900001E-2</v>
      </c>
      <c r="G13" s="92">
        <v>6.0706000775100001E-2</v>
      </c>
      <c r="H13" s="92">
        <v>8.9415296912200001E-2</v>
      </c>
      <c r="I13" s="92">
        <v>5.8410998433800002E-2</v>
      </c>
      <c r="J13" s="92">
        <v>9.8296396434300007E-2</v>
      </c>
    </row>
    <row r="14" spans="1:14" x14ac:dyDescent="0.25">
      <c r="A14" s="73" t="s">
        <v>121</v>
      </c>
      <c r="B14" s="92">
        <v>52.5</v>
      </c>
      <c r="C14" s="92">
        <v>6.0879200696899997E-2</v>
      </c>
      <c r="D14" s="92">
        <v>6.8886503577199998E-2</v>
      </c>
      <c r="E14" s="92">
        <v>6.1519298702499899E-2</v>
      </c>
      <c r="F14" s="92">
        <v>6.3022799789899997E-2</v>
      </c>
      <c r="G14" s="92">
        <v>6.1163198202800001E-2</v>
      </c>
      <c r="H14" s="92">
        <v>8.9910499751599995E-2</v>
      </c>
      <c r="I14" s="92">
        <v>5.8847900479999903E-2</v>
      </c>
      <c r="J14" s="92">
        <v>0.10097900033</v>
      </c>
    </row>
    <row r="15" spans="1:14" x14ac:dyDescent="0.25">
      <c r="A15" s="73" t="s">
        <v>121</v>
      </c>
      <c r="B15" s="92">
        <v>57.5</v>
      </c>
      <c r="C15" s="92">
        <v>6.2555797398099994E-2</v>
      </c>
      <c r="D15" s="92">
        <v>7.07803964615E-2</v>
      </c>
      <c r="E15" s="92">
        <v>6.3405096530899999E-2</v>
      </c>
      <c r="F15" s="92">
        <v>6.4703896641699996E-2</v>
      </c>
      <c r="G15" s="92">
        <v>6.2855303287499997E-2</v>
      </c>
      <c r="H15" s="92">
        <v>9.2053197324299896E-2</v>
      </c>
      <c r="I15" s="92">
        <v>6.0479998588600002E-2</v>
      </c>
      <c r="J15" s="92">
        <v>9.8763801157499997E-2</v>
      </c>
    </row>
    <row r="16" spans="1:14" x14ac:dyDescent="0.25">
      <c r="A16" s="73" t="s">
        <v>121</v>
      </c>
      <c r="B16" s="92">
        <v>62.5</v>
      </c>
      <c r="C16" s="92">
        <v>6.8795002996900001E-2</v>
      </c>
      <c r="D16" s="92">
        <v>7.7838197350500002E-2</v>
      </c>
      <c r="E16" s="92">
        <v>7.0255100727100006E-2</v>
      </c>
      <c r="F16" s="92">
        <v>7.1012601256399993E-2</v>
      </c>
      <c r="G16" s="92">
        <v>6.9134101271599996E-2</v>
      </c>
      <c r="H16" s="92">
        <v>0.100268997251999</v>
      </c>
      <c r="I16" s="92">
        <v>6.65547996759E-2</v>
      </c>
      <c r="J16" s="92">
        <v>0.1096099987626</v>
      </c>
    </row>
    <row r="17" spans="1:10" x14ac:dyDescent="0.25">
      <c r="A17" s="73" t="s">
        <v>121</v>
      </c>
      <c r="B17" s="92">
        <v>67.5</v>
      </c>
      <c r="C17" s="92">
        <v>8.0537199974099999E-2</v>
      </c>
      <c r="D17" s="92">
        <v>9.1143198311299994E-2</v>
      </c>
      <c r="E17" s="92">
        <v>8.3084799349300006E-2</v>
      </c>
      <c r="F17" s="92">
        <v>8.29145982862E-2</v>
      </c>
      <c r="G17" s="92">
        <v>8.0914698541199995E-2</v>
      </c>
      <c r="H17" s="92">
        <v>0.1157179996371</v>
      </c>
      <c r="I17" s="92">
        <v>7.8013703227000006E-2</v>
      </c>
      <c r="J17" s="92">
        <v>0.1258780062199</v>
      </c>
    </row>
    <row r="18" spans="1:10" x14ac:dyDescent="0.25">
      <c r="A18" s="73" t="s">
        <v>121</v>
      </c>
      <c r="B18" s="92">
        <v>72.5</v>
      </c>
      <c r="C18" s="92">
        <v>9.6295796334699896E-2</v>
      </c>
      <c r="D18" s="92">
        <v>0.10900399833920001</v>
      </c>
      <c r="E18" s="92">
        <v>0.10033699870109999</v>
      </c>
      <c r="F18" s="92">
        <v>9.8890498280500005E-2</v>
      </c>
      <c r="G18" s="92">
        <v>9.6715196967100001E-2</v>
      </c>
      <c r="H18" s="92">
        <v>0.13628999888900001</v>
      </c>
      <c r="I18" s="92">
        <v>9.3410201370699997E-2</v>
      </c>
      <c r="J18" s="92">
        <v>0.14751499891279901</v>
      </c>
    </row>
    <row r="20" spans="1:10" x14ac:dyDescent="0.25">
      <c r="A20" s="99" t="s">
        <v>111</v>
      </c>
      <c r="B20" s="99"/>
      <c r="C20" s="99"/>
      <c r="D20" s="99"/>
      <c r="E20" s="99"/>
      <c r="F20" s="99"/>
      <c r="G20" s="99"/>
      <c r="H20" s="99"/>
      <c r="I20" s="99"/>
      <c r="J20" s="99"/>
    </row>
    <row r="21" spans="1:10" x14ac:dyDescent="0.25">
      <c r="A21" s="72" t="s">
        <v>112</v>
      </c>
      <c r="B21" s="72" t="s">
        <v>113</v>
      </c>
      <c r="C21" s="91" t="s">
        <v>55</v>
      </c>
      <c r="D21" s="91" t="s">
        <v>114</v>
      </c>
      <c r="E21" s="91" t="s">
        <v>115</v>
      </c>
      <c r="F21" s="91" t="s">
        <v>116</v>
      </c>
      <c r="G21" s="91" t="s">
        <v>117</v>
      </c>
      <c r="H21" s="91" t="s">
        <v>118</v>
      </c>
      <c r="I21" s="91" t="s">
        <v>119</v>
      </c>
      <c r="J21" s="91" t="s">
        <v>120</v>
      </c>
    </row>
    <row r="22" spans="1:10" x14ac:dyDescent="0.25">
      <c r="A22" s="73" t="s">
        <v>62</v>
      </c>
      <c r="B22" s="92">
        <v>0</v>
      </c>
      <c r="C22" s="92">
        <v>0.1543390005827</v>
      </c>
      <c r="D22" s="92">
        <v>0.1766420006752</v>
      </c>
      <c r="E22" s="92">
        <v>0.14361999928950001</v>
      </c>
      <c r="F22" s="92">
        <v>0.1637820005417</v>
      </c>
      <c r="G22" s="92">
        <v>0.1526200026274</v>
      </c>
      <c r="H22" s="92">
        <v>0.24541099369530001</v>
      </c>
      <c r="I22" s="92">
        <v>0.15000799298289999</v>
      </c>
      <c r="J22" s="92">
        <v>0.2771849930286</v>
      </c>
    </row>
    <row r="23" spans="1:10" x14ac:dyDescent="0.25">
      <c r="A23" s="73" t="s">
        <v>62</v>
      </c>
      <c r="B23" s="92">
        <v>2.5</v>
      </c>
      <c r="C23" s="92">
        <v>0.1075349971652</v>
      </c>
      <c r="D23" s="92">
        <v>0.12261699885129999</v>
      </c>
      <c r="E23" s="92">
        <v>0.102482996881</v>
      </c>
      <c r="F23" s="92">
        <v>0.113332003355</v>
      </c>
      <c r="G23" s="92">
        <v>0.1068549975753</v>
      </c>
      <c r="H23" s="92">
        <v>0.16747200489039901</v>
      </c>
      <c r="I23" s="92">
        <v>0.104336000978899</v>
      </c>
      <c r="J23" s="92">
        <v>0.18784900009629901</v>
      </c>
    </row>
    <row r="24" spans="1:10" x14ac:dyDescent="0.25">
      <c r="A24" s="73" t="s">
        <v>62</v>
      </c>
      <c r="B24" s="92">
        <v>7.5</v>
      </c>
      <c r="C24" s="92">
        <v>8.4132499992799994E-2</v>
      </c>
      <c r="D24" s="92">
        <v>9.5605000853499905E-2</v>
      </c>
      <c r="E24" s="92">
        <v>8.1914603710199999E-2</v>
      </c>
      <c r="F24" s="92">
        <v>8.8106997311099999E-2</v>
      </c>
      <c r="G24" s="92">
        <v>8.3972498774499998E-2</v>
      </c>
      <c r="H24" s="92">
        <v>0.12850299477579999</v>
      </c>
      <c r="I24" s="92">
        <v>8.1499502062800003E-2</v>
      </c>
      <c r="J24" s="92">
        <v>0.14317999780179999</v>
      </c>
    </row>
    <row r="25" spans="1:10" x14ac:dyDescent="0.25">
      <c r="A25" s="73" t="s">
        <v>62</v>
      </c>
      <c r="B25" s="92">
        <v>12.5</v>
      </c>
      <c r="C25" s="92">
        <v>7.6331801712499994E-2</v>
      </c>
      <c r="D25" s="92">
        <v>8.6600996553899995E-2</v>
      </c>
      <c r="E25" s="92">
        <v>7.5058497488500006E-2</v>
      </c>
      <c r="F25" s="92">
        <v>7.9698696732500005E-2</v>
      </c>
      <c r="G25" s="92">
        <v>7.6345100998899906E-2</v>
      </c>
      <c r="H25" s="92">
        <v>0.115512996912</v>
      </c>
      <c r="I25" s="92">
        <v>7.3887497186699999E-2</v>
      </c>
      <c r="J25" s="92">
        <v>0.1282909959555</v>
      </c>
    </row>
    <row r="26" spans="1:10" x14ac:dyDescent="0.25">
      <c r="A26" s="73" t="s">
        <v>62</v>
      </c>
      <c r="B26" s="92">
        <v>17.5</v>
      </c>
      <c r="C26" s="92">
        <v>7.1587800979600005E-2</v>
      </c>
      <c r="D26" s="92">
        <v>8.1144198775300005E-2</v>
      </c>
      <c r="E26" s="92">
        <v>7.0730701088899894E-2</v>
      </c>
      <c r="F26" s="92">
        <v>7.46295973658999E-2</v>
      </c>
      <c r="G26" s="92">
        <v>7.1687102317799997E-2</v>
      </c>
      <c r="H26" s="92">
        <v>0.1079030036926</v>
      </c>
      <c r="I26" s="92">
        <v>6.9256000220800001E-2</v>
      </c>
      <c r="J26" s="92">
        <v>0.11965099722149999</v>
      </c>
    </row>
    <row r="27" spans="1:10" x14ac:dyDescent="0.25">
      <c r="A27" s="73" t="s">
        <v>62</v>
      </c>
      <c r="B27" s="92">
        <v>22.5</v>
      </c>
      <c r="C27" s="92">
        <v>6.7042998969599907E-2</v>
      </c>
      <c r="D27" s="92">
        <v>7.5947798788499998E-2</v>
      </c>
      <c r="E27" s="92">
        <v>6.6322602331600006E-2</v>
      </c>
      <c r="F27" s="92">
        <v>6.9846697151699999E-2</v>
      </c>
      <c r="G27" s="92">
        <v>6.7192703485499994E-2</v>
      </c>
      <c r="H27" s="92">
        <v>0.1010920032859</v>
      </c>
      <c r="I27" s="92">
        <v>6.4815096557099994E-2</v>
      </c>
      <c r="J27" s="92">
        <v>0.11206000298259999</v>
      </c>
    </row>
    <row r="28" spans="1:10" x14ac:dyDescent="0.25">
      <c r="A28" s="73" t="s">
        <v>62</v>
      </c>
      <c r="B28" s="92">
        <v>27.5</v>
      </c>
      <c r="C28" s="92">
        <v>6.1861101537899997E-2</v>
      </c>
      <c r="D28" s="92">
        <v>7.0064201950999994E-2</v>
      </c>
      <c r="E28" s="92">
        <v>6.16110004485E-2</v>
      </c>
      <c r="F28" s="92">
        <v>6.4335100352800004E-2</v>
      </c>
      <c r="G28" s="92">
        <v>6.20126985013E-2</v>
      </c>
      <c r="H28" s="92">
        <v>9.2490501701799996E-2</v>
      </c>
      <c r="I28" s="92">
        <v>5.9836700558699898E-2</v>
      </c>
      <c r="J28" s="92">
        <v>0.10224799811839901</v>
      </c>
    </row>
    <row r="29" spans="1:10" x14ac:dyDescent="0.25">
      <c r="A29" s="73" t="s">
        <v>62</v>
      </c>
      <c r="B29" s="92">
        <v>32.5</v>
      </c>
      <c r="C29" s="92">
        <v>6.0070000588899997E-2</v>
      </c>
      <c r="D29" s="92">
        <v>6.8016901612299993E-2</v>
      </c>
      <c r="E29" s="92">
        <v>6.0109898448E-2</v>
      </c>
      <c r="F29" s="92">
        <v>6.2381498515599897E-2</v>
      </c>
      <c r="G29" s="92">
        <v>6.0253500938399998E-2</v>
      </c>
      <c r="H29" s="92">
        <v>8.9428603649100005E-2</v>
      </c>
      <c r="I29" s="92">
        <v>5.8097600936900001E-2</v>
      </c>
      <c r="J29" s="92">
        <v>9.8663099110100003E-2</v>
      </c>
    </row>
    <row r="30" spans="1:10" x14ac:dyDescent="0.25">
      <c r="A30" s="73" t="s">
        <v>62</v>
      </c>
      <c r="B30" s="92">
        <v>37.5</v>
      </c>
      <c r="C30" s="92">
        <v>5.9190899133699897E-2</v>
      </c>
      <c r="D30" s="92">
        <v>6.7005001008500001E-2</v>
      </c>
      <c r="E30" s="92">
        <v>5.9431999921799997E-2</v>
      </c>
      <c r="F30" s="92">
        <v>6.13996982574E-2</v>
      </c>
      <c r="G30" s="92">
        <v>5.9405799955100001E-2</v>
      </c>
      <c r="H30" s="92">
        <v>8.7890602648299995E-2</v>
      </c>
      <c r="I30" s="92">
        <v>5.7234399020699898E-2</v>
      </c>
      <c r="J30" s="92">
        <v>9.6820503473299999E-2</v>
      </c>
    </row>
    <row r="31" spans="1:10" x14ac:dyDescent="0.25">
      <c r="A31" s="73" t="s">
        <v>62</v>
      </c>
      <c r="B31" s="92">
        <v>42.5</v>
      </c>
      <c r="C31" s="92">
        <v>5.9465900063499999E-2</v>
      </c>
      <c r="D31" s="92">
        <v>6.7303597927100001E-2</v>
      </c>
      <c r="E31" s="92">
        <v>5.9905700385600003E-2</v>
      </c>
      <c r="F31" s="92">
        <v>6.1621401458999997E-2</v>
      </c>
      <c r="G31" s="92">
        <v>5.9708300977900003E-2</v>
      </c>
      <c r="H31" s="92">
        <v>8.8036298751799996E-2</v>
      </c>
      <c r="I31" s="92">
        <v>5.74949011207E-2</v>
      </c>
      <c r="J31" s="92">
        <v>9.6838898956800007E-2</v>
      </c>
    </row>
    <row r="32" spans="1:10" x14ac:dyDescent="0.25">
      <c r="A32" s="73" t="s">
        <v>62</v>
      </c>
      <c r="B32" s="92">
        <v>47.5</v>
      </c>
      <c r="C32" s="92">
        <v>6.13114014268E-2</v>
      </c>
      <c r="D32" s="92">
        <v>6.9382898509499996E-2</v>
      </c>
      <c r="E32" s="92">
        <v>6.1982098966800001E-2</v>
      </c>
      <c r="F32" s="92">
        <v>6.3469201326399993E-2</v>
      </c>
      <c r="G32" s="92">
        <v>6.1581201851399897E-2</v>
      </c>
      <c r="H32" s="92">
        <v>9.0428002178699896E-2</v>
      </c>
      <c r="I32" s="92">
        <v>5.9283100068599999E-2</v>
      </c>
      <c r="J32" s="92">
        <v>9.9314898252499895E-2</v>
      </c>
    </row>
    <row r="33" spans="1:10" x14ac:dyDescent="0.25">
      <c r="A33" s="73" t="s">
        <v>62</v>
      </c>
      <c r="B33" s="92">
        <v>52.5</v>
      </c>
      <c r="C33" s="92">
        <v>6.3552699983099994E-2</v>
      </c>
      <c r="D33" s="92">
        <v>7.1912899613399903E-2</v>
      </c>
      <c r="E33" s="92">
        <v>6.4469501376199903E-2</v>
      </c>
      <c r="F33" s="92">
        <v>6.5725602209599998E-2</v>
      </c>
      <c r="G33" s="92">
        <v>6.3847199082399997E-2</v>
      </c>
      <c r="H33" s="92">
        <v>9.3363903462899994E-2</v>
      </c>
      <c r="I33" s="92">
        <v>6.1459198594099998E-2</v>
      </c>
      <c r="J33" s="92">
        <v>0.1023800000548</v>
      </c>
    </row>
    <row r="34" spans="1:10" x14ac:dyDescent="0.25">
      <c r="A34" s="73" t="s">
        <v>62</v>
      </c>
      <c r="B34" s="92">
        <v>57.5</v>
      </c>
      <c r="C34" s="92">
        <v>6.6291801631500002E-2</v>
      </c>
      <c r="D34" s="92">
        <v>7.5008802115899997E-2</v>
      </c>
      <c r="E34" s="92">
        <v>6.7482098936999996E-2</v>
      </c>
      <c r="F34" s="92">
        <v>6.8493202328700001E-2</v>
      </c>
      <c r="G34" s="92">
        <v>6.66097030044E-2</v>
      </c>
      <c r="H34" s="92">
        <v>9.6977099776299994E-2</v>
      </c>
      <c r="I34" s="92">
        <v>6.4122296869800005E-2</v>
      </c>
      <c r="J34" s="92">
        <v>0.1061730012298</v>
      </c>
    </row>
    <row r="35" spans="1:10" x14ac:dyDescent="0.25">
      <c r="A35" s="73" t="s">
        <v>62</v>
      </c>
      <c r="B35" s="92">
        <v>62.5</v>
      </c>
      <c r="C35" s="92">
        <v>7.1055598556999999E-2</v>
      </c>
      <c r="D35" s="92">
        <v>8.0401100218300006E-2</v>
      </c>
      <c r="E35" s="92">
        <v>7.2703696787399893E-2</v>
      </c>
      <c r="F35" s="92">
        <v>7.3314398527100005E-2</v>
      </c>
      <c r="G35" s="92">
        <v>7.1398198604600005E-2</v>
      </c>
      <c r="H35" s="92">
        <v>0.103244997561</v>
      </c>
      <c r="I35" s="92">
        <v>6.8764798343199998E-2</v>
      </c>
      <c r="J35" s="92">
        <v>0.1127630025148</v>
      </c>
    </row>
    <row r="36" spans="1:10" x14ac:dyDescent="0.25">
      <c r="A36" s="73" t="s">
        <v>62</v>
      </c>
      <c r="B36" s="92">
        <v>67.5</v>
      </c>
      <c r="C36" s="92">
        <v>8.1341803073900001E-2</v>
      </c>
      <c r="D36" s="92">
        <v>9.2054300010199999E-2</v>
      </c>
      <c r="E36" s="92">
        <v>8.3956897258799998E-2</v>
      </c>
      <c r="F36" s="92">
        <v>8.3734400570399894E-2</v>
      </c>
      <c r="G36" s="92">
        <v>8.1718102097499995E-2</v>
      </c>
      <c r="H36" s="92">
        <v>0.11676099896430001</v>
      </c>
      <c r="I36" s="92">
        <v>7.8802503645399993E-2</v>
      </c>
      <c r="J36" s="92">
        <v>0.12698400020600001</v>
      </c>
    </row>
    <row r="37" spans="1:10" x14ac:dyDescent="0.25">
      <c r="A37" s="73" t="s">
        <v>62</v>
      </c>
      <c r="B37" s="92">
        <v>72.5</v>
      </c>
      <c r="C37" s="92">
        <v>9.6295796334699896E-2</v>
      </c>
      <c r="D37" s="92">
        <v>0.10900399833920001</v>
      </c>
      <c r="E37" s="92">
        <v>0.10033699870109999</v>
      </c>
      <c r="F37" s="92">
        <v>9.8890498280500005E-2</v>
      </c>
      <c r="G37" s="92">
        <v>9.6715301275299995E-2</v>
      </c>
      <c r="H37" s="92">
        <v>0.13628999888900001</v>
      </c>
      <c r="I37" s="92">
        <v>9.3410201370699997E-2</v>
      </c>
      <c r="J37" s="92">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selection activeCell="K11" sqref="K11"/>
    </sheetView>
  </sheetViews>
  <sheetFormatPr defaultRowHeight="15" x14ac:dyDescent="0.25"/>
  <cols>
    <col min="1" max="1" width="13.42578125" bestFit="1" customWidth="1"/>
    <col min="3" max="9" width="12.140625" style="38" bestFit="1" customWidth="1"/>
    <col min="10" max="10" width="10.5703125" style="38" bestFit="1" customWidth="1"/>
  </cols>
  <sheetData>
    <row r="1" spans="1:14" x14ac:dyDescent="0.25">
      <c r="A1" s="99" t="s">
        <v>111</v>
      </c>
      <c r="B1" s="99"/>
      <c r="C1" s="99"/>
      <c r="D1" s="99"/>
      <c r="E1" s="99"/>
      <c r="F1" s="99"/>
      <c r="G1" s="99"/>
      <c r="H1" s="99"/>
      <c r="I1" s="99"/>
      <c r="J1" s="99"/>
    </row>
    <row r="2" spans="1:14" s="2" customFormat="1" x14ac:dyDescent="0.25">
      <c r="A2" s="72" t="s">
        <v>112</v>
      </c>
      <c r="B2" s="72" t="s">
        <v>113</v>
      </c>
      <c r="C2" s="91" t="s">
        <v>55</v>
      </c>
      <c r="D2" s="91" t="s">
        <v>114</v>
      </c>
      <c r="E2" s="91" t="s">
        <v>115</v>
      </c>
      <c r="F2" s="91" t="s">
        <v>116</v>
      </c>
      <c r="G2" s="91" t="s">
        <v>117</v>
      </c>
      <c r="H2" s="91" t="s">
        <v>118</v>
      </c>
      <c r="I2" s="91" t="s">
        <v>119</v>
      </c>
      <c r="J2" s="91" t="s">
        <v>120</v>
      </c>
    </row>
    <row r="3" spans="1:14" x14ac:dyDescent="0.25">
      <c r="A3" s="73" t="s">
        <v>121</v>
      </c>
      <c r="B3" s="73">
        <v>0</v>
      </c>
      <c r="C3" s="92">
        <v>5.8609999716300001E-2</v>
      </c>
      <c r="D3" s="92">
        <v>7.0484898984399996E-2</v>
      </c>
      <c r="E3" s="92">
        <v>5.5012099444900001E-2</v>
      </c>
      <c r="F3" s="92">
        <v>6.3270196318599994E-2</v>
      </c>
      <c r="G3" s="92">
        <v>5.65058998764E-2</v>
      </c>
      <c r="H3" s="92">
        <v>9.6514701843299994E-2</v>
      </c>
      <c r="I3" s="92">
        <v>5.7858299464E-2</v>
      </c>
      <c r="J3" s="92">
        <v>0.110799998045</v>
      </c>
    </row>
    <row r="4" spans="1:14" x14ac:dyDescent="0.25">
      <c r="A4" s="73" t="s">
        <v>121</v>
      </c>
      <c r="B4" s="73">
        <v>2.5</v>
      </c>
      <c r="C4" s="92">
        <v>3.5171400755599998E-2</v>
      </c>
      <c r="D4" s="92">
        <v>4.2221300303899999E-2</v>
      </c>
      <c r="E4" s="92">
        <v>3.3969201147599999E-2</v>
      </c>
      <c r="F4" s="92">
        <v>3.76628004014E-2</v>
      </c>
      <c r="G4" s="92">
        <v>3.4171398729100001E-2</v>
      </c>
      <c r="H4" s="92">
        <v>5.7386100292199899E-2</v>
      </c>
      <c r="I4" s="92">
        <v>3.4549199044699899E-2</v>
      </c>
      <c r="J4" s="92">
        <v>6.5357796847800007E-2</v>
      </c>
      <c r="L4" s="2" t="s">
        <v>122</v>
      </c>
      <c r="N4" t="s">
        <v>123</v>
      </c>
    </row>
    <row r="5" spans="1:14" x14ac:dyDescent="0.25">
      <c r="A5" s="73" t="s">
        <v>121</v>
      </c>
      <c r="B5" s="73">
        <v>7.5</v>
      </c>
      <c r="C5" s="92">
        <v>2.2651899606E-2</v>
      </c>
      <c r="D5" s="92">
        <v>2.7145899832200001E-2</v>
      </c>
      <c r="E5" s="92">
        <v>2.2505000233700001E-2</v>
      </c>
      <c r="F5" s="92">
        <v>2.4057900533099998E-2</v>
      </c>
      <c r="G5" s="92">
        <v>2.2180700674699998E-2</v>
      </c>
      <c r="H5" s="92">
        <v>3.6615099757899998E-2</v>
      </c>
      <c r="I5" s="92">
        <v>2.21395008266E-2</v>
      </c>
      <c r="J5" s="92">
        <v>4.1352998465300002E-2</v>
      </c>
      <c r="L5" t="s">
        <v>62</v>
      </c>
    </row>
    <row r="6" spans="1:14" x14ac:dyDescent="0.25">
      <c r="A6" s="73" t="s">
        <v>121</v>
      </c>
      <c r="B6" s="73">
        <v>12.5</v>
      </c>
      <c r="C6" s="92">
        <v>1.6929900273700001E-2</v>
      </c>
      <c r="D6" s="92">
        <v>2.0293999463299999E-2</v>
      </c>
      <c r="E6" s="92">
        <v>1.6858600080000001E-2</v>
      </c>
      <c r="F6" s="92">
        <v>1.7971899360400001E-2</v>
      </c>
      <c r="G6" s="92">
        <v>1.6589900478700001E-2</v>
      </c>
      <c r="H6" s="92">
        <v>2.7355400845399998E-2</v>
      </c>
      <c r="I6" s="92">
        <v>1.6541400924299999E-2</v>
      </c>
      <c r="J6" s="92">
        <v>3.08660995214999E-2</v>
      </c>
      <c r="L6" t="s">
        <v>121</v>
      </c>
    </row>
    <row r="7" spans="1:14" x14ac:dyDescent="0.25">
      <c r="A7" s="73" t="s">
        <v>121</v>
      </c>
      <c r="B7" s="73">
        <v>17.5</v>
      </c>
      <c r="C7" s="92">
        <v>1.39010995626E-2</v>
      </c>
      <c r="D7" s="92">
        <v>1.66459996252999E-2</v>
      </c>
      <c r="E7" s="92">
        <v>1.39955002815E-2</v>
      </c>
      <c r="F7" s="92">
        <v>1.4711899682899999E-2</v>
      </c>
      <c r="G7" s="92">
        <v>1.36591000482E-2</v>
      </c>
      <c r="H7" s="92">
        <v>2.2313000634300001E-2</v>
      </c>
      <c r="I7" s="92">
        <v>1.3561399653600001E-2</v>
      </c>
      <c r="J7" s="92">
        <v>2.5098299607599898E-2</v>
      </c>
    </row>
    <row r="8" spans="1:14" x14ac:dyDescent="0.25">
      <c r="A8" s="73" t="s">
        <v>121</v>
      </c>
      <c r="B8" s="73">
        <v>22.5</v>
      </c>
      <c r="C8" s="92">
        <v>1.26003995537999E-2</v>
      </c>
      <c r="D8" s="92">
        <v>1.5075299888799999E-2</v>
      </c>
      <c r="E8" s="92">
        <v>1.28357997163999E-2</v>
      </c>
      <c r="F8" s="92">
        <v>1.3287800364200001E-2</v>
      </c>
      <c r="G8" s="92">
        <v>1.24212000519E-2</v>
      </c>
      <c r="H8" s="92">
        <v>2.0132299512599899E-2</v>
      </c>
      <c r="I8" s="92">
        <v>1.2266599573199999E-2</v>
      </c>
      <c r="J8" s="92">
        <v>2.25630998611E-2</v>
      </c>
    </row>
    <row r="9" spans="1:14" x14ac:dyDescent="0.25">
      <c r="A9" s="73" t="s">
        <v>121</v>
      </c>
      <c r="B9" s="73">
        <v>27.5</v>
      </c>
      <c r="C9" s="92">
        <v>1.17947002873E-2</v>
      </c>
      <c r="D9" s="92">
        <v>1.4101999811799999E-2</v>
      </c>
      <c r="E9" s="92">
        <v>1.21267996728E-2</v>
      </c>
      <c r="F9" s="92">
        <v>1.2402400374399899E-2</v>
      </c>
      <c r="G9" s="92">
        <v>1.1657300405199999E-2</v>
      </c>
      <c r="H9" s="92">
        <v>1.8781099468499901E-2</v>
      </c>
      <c r="I9" s="92">
        <v>1.1462300084500001E-2</v>
      </c>
      <c r="J9" s="92">
        <v>2.09864992648E-2</v>
      </c>
    </row>
    <row r="10" spans="1:14" x14ac:dyDescent="0.25">
      <c r="A10" s="73" t="s">
        <v>121</v>
      </c>
      <c r="B10" s="73">
        <v>32.5</v>
      </c>
      <c r="C10" s="92">
        <v>1.1447000317299999E-2</v>
      </c>
      <c r="D10" s="92">
        <v>1.3672599569E-2</v>
      </c>
      <c r="E10" s="92">
        <v>1.1898299679199999E-2</v>
      </c>
      <c r="F10" s="92">
        <v>1.1997399851699999E-2</v>
      </c>
      <c r="G10" s="92">
        <v>1.1346000246699999E-2</v>
      </c>
      <c r="H10" s="92">
        <v>1.81210990995E-2</v>
      </c>
      <c r="I10" s="92">
        <v>1.11047001556E-2</v>
      </c>
      <c r="J10" s="92">
        <v>2.0180299878099901E-2</v>
      </c>
    </row>
    <row r="11" spans="1:14" x14ac:dyDescent="0.25">
      <c r="A11" s="73" t="s">
        <v>121</v>
      </c>
      <c r="B11" s="73">
        <v>37.5</v>
      </c>
      <c r="C11" s="92">
        <v>1.12082995474E-2</v>
      </c>
      <c r="D11" s="92">
        <v>1.3376500457499999E-2</v>
      </c>
      <c r="E11" s="92">
        <v>1.17538999766E-2</v>
      </c>
      <c r="F11" s="92">
        <v>1.1715799570099999E-2</v>
      </c>
      <c r="G11" s="92">
        <v>1.1135299690099999E-2</v>
      </c>
      <c r="H11" s="92">
        <v>1.7655799165399999E-2</v>
      </c>
      <c r="I11" s="92">
        <v>1.08575997874E-2</v>
      </c>
      <c r="J11" s="92">
        <v>1.96068007499E-2</v>
      </c>
    </row>
    <row r="12" spans="1:14" x14ac:dyDescent="0.25">
      <c r="A12" s="73" t="s">
        <v>121</v>
      </c>
      <c r="B12" s="73">
        <v>42.5</v>
      </c>
      <c r="C12" s="92">
        <v>1.10226999967999E-2</v>
      </c>
      <c r="D12" s="92">
        <v>1.31460996344999E-2</v>
      </c>
      <c r="E12" s="92">
        <v>1.1641499586399999E-2</v>
      </c>
      <c r="F12" s="92">
        <v>1.1496700346499999E-2</v>
      </c>
      <c r="G12" s="92">
        <v>1.09713999555E-2</v>
      </c>
      <c r="H12" s="92">
        <v>1.72937996685999E-2</v>
      </c>
      <c r="I12" s="92">
        <v>1.06653999537E-2</v>
      </c>
      <c r="J12" s="92">
        <v>1.9160699099299999E-2</v>
      </c>
    </row>
    <row r="13" spans="1:14" x14ac:dyDescent="0.25">
      <c r="A13" s="73" t="s">
        <v>121</v>
      </c>
      <c r="B13" s="73">
        <v>47.5</v>
      </c>
      <c r="C13" s="92">
        <v>1.0793000459700001E-2</v>
      </c>
      <c r="D13" s="92">
        <v>1.28672998398999E-2</v>
      </c>
      <c r="E13" s="92">
        <v>1.1462699621899899E-2</v>
      </c>
      <c r="F13" s="92">
        <v>1.1237000115199999E-2</v>
      </c>
      <c r="G13" s="92">
        <v>1.0759999975599999E-2</v>
      </c>
      <c r="H13" s="92">
        <v>1.6896400600699999E-2</v>
      </c>
      <c r="I13" s="92">
        <v>1.0432000271999999E-2</v>
      </c>
      <c r="J13" s="92">
        <v>1.8683899194E-2</v>
      </c>
    </row>
    <row r="14" spans="1:14" x14ac:dyDescent="0.25">
      <c r="A14" s="73" t="s">
        <v>121</v>
      </c>
      <c r="B14" s="73">
        <v>52.5</v>
      </c>
      <c r="C14" s="92">
        <v>1.05835003777999E-2</v>
      </c>
      <c r="D14" s="92">
        <v>1.26139000058E-2</v>
      </c>
      <c r="E14" s="92">
        <v>1.12926997244E-2</v>
      </c>
      <c r="F14" s="92">
        <v>1.10020004213E-2</v>
      </c>
      <c r="G14" s="92">
        <v>1.0565499775100001E-2</v>
      </c>
      <c r="H14" s="92">
        <v>1.6542399302100001E-2</v>
      </c>
      <c r="I14" s="92">
        <v>1.0219899937500001E-2</v>
      </c>
      <c r="J14" s="92">
        <v>1.8354199826700002E-2</v>
      </c>
    </row>
    <row r="15" spans="1:14" x14ac:dyDescent="0.25">
      <c r="A15" s="73" t="s">
        <v>121</v>
      </c>
      <c r="B15" s="73">
        <v>57.5</v>
      </c>
      <c r="C15" s="92">
        <v>1.06947002932E-2</v>
      </c>
      <c r="D15" s="92">
        <v>1.27397002652E-2</v>
      </c>
      <c r="E15" s="92">
        <v>1.14820003509999E-2</v>
      </c>
      <c r="F15" s="92">
        <v>1.10959000885E-2</v>
      </c>
      <c r="G15" s="92">
        <v>1.06945997104E-2</v>
      </c>
      <c r="H15" s="92">
        <v>1.6661299392599999E-2</v>
      </c>
      <c r="I15" s="92">
        <v>1.0316199623E-2</v>
      </c>
      <c r="J15" s="92">
        <v>1.8262000754499901E-2</v>
      </c>
    </row>
    <row r="16" spans="1:14" x14ac:dyDescent="0.25">
      <c r="A16" s="73" t="s">
        <v>121</v>
      </c>
      <c r="B16" s="73">
        <v>62.5</v>
      </c>
      <c r="C16" s="92">
        <v>1.18872001766999E-2</v>
      </c>
      <c r="D16" s="92">
        <v>1.41414003447E-2</v>
      </c>
      <c r="E16" s="92">
        <v>1.2915999628599999E-2</v>
      </c>
      <c r="F16" s="92">
        <v>1.22881997377E-2</v>
      </c>
      <c r="G16" s="92">
        <v>1.1923399753899999E-2</v>
      </c>
      <c r="H16" s="92">
        <v>1.83620993047999E-2</v>
      </c>
      <c r="I16" s="92">
        <v>1.14462999627E-2</v>
      </c>
      <c r="J16" s="92">
        <v>2.0146500319200001E-2</v>
      </c>
    </row>
    <row r="17" spans="1:10" x14ac:dyDescent="0.25">
      <c r="A17" s="73" t="s">
        <v>121</v>
      </c>
      <c r="B17" s="73">
        <v>67.5</v>
      </c>
      <c r="C17" s="92">
        <v>1.46858002989999E-2</v>
      </c>
      <c r="D17" s="92">
        <v>1.74403004348E-2</v>
      </c>
      <c r="E17" s="92">
        <v>1.61917004734E-2</v>
      </c>
      <c r="F17" s="92">
        <v>1.51132997125E-2</v>
      </c>
      <c r="G17" s="92">
        <v>1.47847998887E-2</v>
      </c>
      <c r="H17" s="92">
        <v>2.24270001054E-2</v>
      </c>
      <c r="I17" s="92">
        <v>1.41120003536E-2</v>
      </c>
      <c r="J17" s="92">
        <v>2.4482799693899999E-2</v>
      </c>
    </row>
    <row r="18" spans="1:10" x14ac:dyDescent="0.25">
      <c r="A18" s="73" t="s">
        <v>121</v>
      </c>
      <c r="B18" s="73">
        <v>72.5</v>
      </c>
      <c r="C18" s="92">
        <v>1.88135001807999E-2</v>
      </c>
      <c r="D18" s="92">
        <v>2.2301599383400001E-2</v>
      </c>
      <c r="E18" s="92">
        <v>2.0949499681599999E-2</v>
      </c>
      <c r="F18" s="92">
        <v>1.9308000802999999E-2</v>
      </c>
      <c r="G18" s="92">
        <v>1.8978700041799999E-2</v>
      </c>
      <c r="H18" s="92">
        <v>2.8373600915099901E-2</v>
      </c>
      <c r="I18" s="92">
        <v>1.8065299838799901E-2</v>
      </c>
      <c r="J18" s="92">
        <v>3.08768991381E-2</v>
      </c>
    </row>
    <row r="20" spans="1:10" x14ac:dyDescent="0.25">
      <c r="A20" s="99" t="s">
        <v>111</v>
      </c>
      <c r="B20" s="99"/>
      <c r="C20" s="99"/>
      <c r="D20" s="99"/>
      <c r="E20" s="99"/>
      <c r="F20" s="99"/>
      <c r="G20" s="99"/>
      <c r="H20" s="99"/>
      <c r="I20" s="99"/>
      <c r="J20" s="99"/>
    </row>
    <row r="21" spans="1:10" s="2" customFormat="1" x14ac:dyDescent="0.25">
      <c r="A21" s="72" t="s">
        <v>112</v>
      </c>
      <c r="B21" s="72" t="s">
        <v>113</v>
      </c>
      <c r="C21" s="91" t="s">
        <v>55</v>
      </c>
      <c r="D21" s="91" t="s">
        <v>114</v>
      </c>
      <c r="E21" s="91" t="s">
        <v>115</v>
      </c>
      <c r="F21" s="91" t="s">
        <v>116</v>
      </c>
      <c r="G21" s="91" t="s">
        <v>117</v>
      </c>
      <c r="H21" s="91" t="s">
        <v>118</v>
      </c>
      <c r="I21" s="91" t="s">
        <v>119</v>
      </c>
      <c r="J21" s="91" t="s">
        <v>120</v>
      </c>
    </row>
    <row r="22" spans="1:10" x14ac:dyDescent="0.25">
      <c r="A22" s="73" t="s">
        <v>62</v>
      </c>
      <c r="B22" s="73">
        <v>0</v>
      </c>
      <c r="C22" s="92">
        <v>5.8609899133399999E-2</v>
      </c>
      <c r="D22" s="92">
        <v>7.0484802126899906E-2</v>
      </c>
      <c r="E22" s="92">
        <v>5.5012099444900001E-2</v>
      </c>
      <c r="F22" s="92">
        <v>6.3270196318599994E-2</v>
      </c>
      <c r="G22" s="92">
        <v>5.6506000459199998E-2</v>
      </c>
      <c r="H22" s="92">
        <v>9.65145975351E-2</v>
      </c>
      <c r="I22" s="92">
        <v>5.7858299464E-2</v>
      </c>
      <c r="J22" s="92">
        <v>0.110799998045</v>
      </c>
    </row>
    <row r="23" spans="1:10" x14ac:dyDescent="0.25">
      <c r="A23" s="73" t="s">
        <v>62</v>
      </c>
      <c r="B23" s="73">
        <v>2.5</v>
      </c>
      <c r="C23" s="92">
        <v>3.5515200346699902E-2</v>
      </c>
      <c r="D23" s="92">
        <v>4.2625699192299998E-2</v>
      </c>
      <c r="E23" s="92">
        <v>3.4352999180600002E-2</v>
      </c>
      <c r="F23" s="92">
        <v>3.8021400570899998E-2</v>
      </c>
      <c r="G23" s="92">
        <v>3.4513100981699997E-2</v>
      </c>
      <c r="H23" s="92">
        <v>5.7831298559899998E-2</v>
      </c>
      <c r="I23" s="92">
        <v>3.4887701272999998E-2</v>
      </c>
      <c r="J23" s="92">
        <v>6.5844103693999997E-2</v>
      </c>
    </row>
    <row r="24" spans="1:10" x14ac:dyDescent="0.25">
      <c r="A24" s="73" t="s">
        <v>62</v>
      </c>
      <c r="B24" s="73">
        <v>7.5</v>
      </c>
      <c r="C24" s="92">
        <v>2.3967800661900001E-2</v>
      </c>
      <c r="D24" s="92">
        <v>2.8696199879099899E-2</v>
      </c>
      <c r="E24" s="92">
        <v>2.40234993397999E-2</v>
      </c>
      <c r="F24" s="92">
        <v>2.53970995544999E-2</v>
      </c>
      <c r="G24" s="92">
        <v>2.35166996717E-2</v>
      </c>
      <c r="H24" s="92">
        <v>3.8489598780899997E-2</v>
      </c>
      <c r="I24" s="92">
        <v>2.3402400314799999E-2</v>
      </c>
      <c r="J24" s="92">
        <v>4.33663018048E-2</v>
      </c>
    </row>
    <row r="25" spans="1:10" x14ac:dyDescent="0.25">
      <c r="A25" s="73" t="s">
        <v>62</v>
      </c>
      <c r="B25" s="73">
        <v>12.5</v>
      </c>
      <c r="C25" s="92">
        <v>2.01185997575999E-2</v>
      </c>
      <c r="D25" s="92">
        <v>2.40529999137E-2</v>
      </c>
      <c r="E25" s="92">
        <v>2.0580399781499999E-2</v>
      </c>
      <c r="F25" s="92">
        <v>2.1188899874700001E-2</v>
      </c>
      <c r="G25" s="92">
        <v>1.9851200282599998E-2</v>
      </c>
      <c r="H25" s="92">
        <v>3.2042399048799998E-2</v>
      </c>
      <c r="I25" s="92">
        <v>1.95739008485999E-2</v>
      </c>
      <c r="J25" s="92">
        <v>3.5873699933300002E-2</v>
      </c>
    </row>
    <row r="26" spans="1:10" x14ac:dyDescent="0.25">
      <c r="A26" s="73" t="s">
        <v>62</v>
      </c>
      <c r="B26" s="73">
        <v>17.5</v>
      </c>
      <c r="C26" s="92">
        <v>1.7726300284300001E-2</v>
      </c>
      <c r="D26" s="92">
        <v>2.1176399663100001E-2</v>
      </c>
      <c r="E26" s="92">
        <v>1.8333999440099901E-2</v>
      </c>
      <c r="F26" s="92">
        <v>1.8605599179900002E-2</v>
      </c>
      <c r="G26" s="92">
        <v>1.7545400187400001E-2</v>
      </c>
      <c r="H26" s="92">
        <v>2.8115600347499999E-2</v>
      </c>
      <c r="I26" s="92">
        <v>1.7210900783499999E-2</v>
      </c>
      <c r="J26" s="92">
        <v>3.1365200877200003E-2</v>
      </c>
    </row>
    <row r="27" spans="1:10" x14ac:dyDescent="0.25">
      <c r="A27" s="73" t="s">
        <v>62</v>
      </c>
      <c r="B27" s="73">
        <v>22.5</v>
      </c>
      <c r="C27" s="92">
        <v>1.53491003439E-2</v>
      </c>
      <c r="D27" s="92">
        <v>1.8333099782500001E-2</v>
      </c>
      <c r="E27" s="92">
        <v>1.59297008067E-2</v>
      </c>
      <c r="F27" s="92">
        <v>1.60907004028999E-2</v>
      </c>
      <c r="G27" s="92">
        <v>1.52097996324E-2</v>
      </c>
      <c r="H27" s="92">
        <v>2.4343999102699999E-2</v>
      </c>
      <c r="I27" s="92">
        <v>1.48897003382E-2</v>
      </c>
      <c r="J27" s="92">
        <v>2.71256007254E-2</v>
      </c>
    </row>
    <row r="28" spans="1:10" x14ac:dyDescent="0.25">
      <c r="A28" s="73" t="s">
        <v>62</v>
      </c>
      <c r="B28" s="73">
        <v>27.5</v>
      </c>
      <c r="C28" s="92">
        <v>1.42219997942E-2</v>
      </c>
      <c r="D28" s="92">
        <v>1.69677995145E-2</v>
      </c>
      <c r="E28" s="92">
        <v>1.49114001542E-2</v>
      </c>
      <c r="F28" s="92">
        <v>1.4865400269599999E-2</v>
      </c>
      <c r="G28" s="92">
        <v>1.41283003612999E-2</v>
      </c>
      <c r="H28" s="92">
        <v>2.2393299266700001E-2</v>
      </c>
      <c r="I28" s="92">
        <v>1.37772997841E-2</v>
      </c>
      <c r="J28" s="92">
        <v>2.4874599650499998E-2</v>
      </c>
    </row>
    <row r="29" spans="1:10" x14ac:dyDescent="0.25">
      <c r="A29" s="73" t="s">
        <v>62</v>
      </c>
      <c r="B29" s="73">
        <v>32.5</v>
      </c>
      <c r="C29" s="92">
        <v>1.2985499575700001E-2</v>
      </c>
      <c r="D29" s="92">
        <v>1.5487699769399999E-2</v>
      </c>
      <c r="E29" s="92">
        <v>1.36716999114E-2</v>
      </c>
      <c r="F29" s="92">
        <v>1.3556400313999999E-2</v>
      </c>
      <c r="G29" s="92">
        <v>1.29139004275E-2</v>
      </c>
      <c r="H29" s="92">
        <v>2.0397499203700001E-2</v>
      </c>
      <c r="I29" s="92">
        <v>1.25714000313999E-2</v>
      </c>
      <c r="J29" s="92">
        <v>2.2626200690899999E-2</v>
      </c>
    </row>
    <row r="30" spans="1:10" x14ac:dyDescent="0.25">
      <c r="A30" s="73" t="s">
        <v>62</v>
      </c>
      <c r="B30" s="73">
        <v>37.5</v>
      </c>
      <c r="C30" s="92">
        <v>1.1953799985300001E-2</v>
      </c>
      <c r="D30" s="92">
        <v>1.4255500398599999E-2</v>
      </c>
      <c r="E30" s="92">
        <v>1.26173002645E-2</v>
      </c>
      <c r="F30" s="92">
        <v>1.2469800189099999E-2</v>
      </c>
      <c r="G30" s="92">
        <v>1.18961995467999E-2</v>
      </c>
      <c r="H30" s="92">
        <v>1.8756100907899999E-2</v>
      </c>
      <c r="I30" s="92">
        <v>1.15676000714E-2</v>
      </c>
      <c r="J30" s="92">
        <v>2.0786600187400001E-2</v>
      </c>
    </row>
    <row r="31" spans="1:10" x14ac:dyDescent="0.25">
      <c r="A31" s="73" t="s">
        <v>62</v>
      </c>
      <c r="B31" s="73">
        <v>42.5</v>
      </c>
      <c r="C31" s="92">
        <v>1.13695003092E-2</v>
      </c>
      <c r="D31" s="92">
        <v>1.35548003018E-2</v>
      </c>
      <c r="E31" s="92">
        <v>1.20513997972E-2</v>
      </c>
      <c r="F31" s="92">
        <v>1.1844700202299999E-2</v>
      </c>
      <c r="G31" s="92">
        <v>1.13278999925E-2</v>
      </c>
      <c r="H31" s="92">
        <v>1.7805000767099999E-2</v>
      </c>
      <c r="I31" s="92">
        <v>1.09938997775E-2</v>
      </c>
      <c r="J31" s="92">
        <v>1.9703699275899999E-2</v>
      </c>
    </row>
    <row r="32" spans="1:10" x14ac:dyDescent="0.25">
      <c r="A32" s="73" t="s">
        <v>62</v>
      </c>
      <c r="B32" s="73">
        <v>47.5</v>
      </c>
      <c r="C32" s="92">
        <v>1.12718995661E-2</v>
      </c>
      <c r="D32" s="92">
        <v>1.3431300409100001E-2</v>
      </c>
      <c r="E32" s="92">
        <v>1.2029499746899999E-2</v>
      </c>
      <c r="F32" s="92">
        <v>1.17175998166E-2</v>
      </c>
      <c r="G32" s="92">
        <v>1.1251900345099999E-2</v>
      </c>
      <c r="H32" s="92">
        <v>1.7596300691399999E-2</v>
      </c>
      <c r="I32" s="92">
        <v>1.0885999538000001E-2</v>
      </c>
      <c r="J32" s="92">
        <v>1.94269008934E-2</v>
      </c>
    </row>
    <row r="33" spans="1:10" x14ac:dyDescent="0.25">
      <c r="A33" s="73" t="s">
        <v>62</v>
      </c>
      <c r="B33" s="73">
        <v>52.5</v>
      </c>
      <c r="C33" s="92">
        <v>1.13663999364E-2</v>
      </c>
      <c r="D33" s="92">
        <v>1.35359000415E-2</v>
      </c>
      <c r="E33" s="92">
        <v>1.22071001679E-2</v>
      </c>
      <c r="F33" s="92">
        <v>1.1792800389199999E-2</v>
      </c>
      <c r="G33" s="92">
        <v>1.13652003929E-2</v>
      </c>
      <c r="H33" s="92">
        <v>1.7676800489399999E-2</v>
      </c>
      <c r="I33" s="92">
        <v>1.09660997987E-2</v>
      </c>
      <c r="J33" s="92">
        <v>1.9473999738699999E-2</v>
      </c>
    </row>
    <row r="34" spans="1:10" x14ac:dyDescent="0.25">
      <c r="A34" s="73" t="s">
        <v>62</v>
      </c>
      <c r="B34" s="73">
        <v>57.5</v>
      </c>
      <c r="C34" s="92">
        <v>1.16529995576E-2</v>
      </c>
      <c r="D34" s="92">
        <v>1.38681000098999E-2</v>
      </c>
      <c r="E34" s="92">
        <v>1.2588200159399999E-2</v>
      </c>
      <c r="F34" s="92">
        <v>1.2068999931199999E-2</v>
      </c>
      <c r="G34" s="92">
        <v>1.16688003764E-2</v>
      </c>
      <c r="H34" s="92">
        <v>1.8043400719799998E-2</v>
      </c>
      <c r="I34" s="92">
        <v>1.12333996221E-2</v>
      </c>
      <c r="J34" s="92">
        <v>1.9839400425599899E-2</v>
      </c>
    </row>
    <row r="35" spans="1:10" x14ac:dyDescent="0.25">
      <c r="A35" s="73" t="s">
        <v>62</v>
      </c>
      <c r="B35" s="73">
        <v>62.5</v>
      </c>
      <c r="C35" s="92">
        <v>1.2541400268699999E-2</v>
      </c>
      <c r="D35" s="92">
        <v>1.4911799691599999E-2</v>
      </c>
      <c r="E35" s="92">
        <v>1.3659800402799901E-2</v>
      </c>
      <c r="F35" s="92">
        <v>1.29565997049E-2</v>
      </c>
      <c r="G35" s="92">
        <v>1.25847999007E-2</v>
      </c>
      <c r="H35" s="92">
        <v>1.93026997149E-2</v>
      </c>
      <c r="I35" s="92">
        <v>1.20753999799E-2</v>
      </c>
      <c r="J35" s="92">
        <v>2.1164700388900001E-2</v>
      </c>
    </row>
    <row r="36" spans="1:10" x14ac:dyDescent="0.25">
      <c r="A36" s="73" t="s">
        <v>62</v>
      </c>
      <c r="B36" s="73">
        <v>67.5</v>
      </c>
      <c r="C36" s="92">
        <v>1.4941199682699999E-2</v>
      </c>
      <c r="D36" s="92">
        <v>1.7740299925200001E-2</v>
      </c>
      <c r="E36" s="92">
        <v>1.6478300094599999E-2</v>
      </c>
      <c r="F36" s="92">
        <v>1.53756998479E-2</v>
      </c>
      <c r="G36" s="92">
        <v>1.50413997471E-2</v>
      </c>
      <c r="H36" s="92">
        <v>2.2788999602199999E-2</v>
      </c>
      <c r="I36" s="92">
        <v>1.4358799904599999E-2</v>
      </c>
      <c r="J36" s="92">
        <v>2.48776003718E-2</v>
      </c>
    </row>
    <row r="37" spans="1:10" x14ac:dyDescent="0.25">
      <c r="A37" s="73" t="s">
        <v>62</v>
      </c>
      <c r="B37" s="73">
        <v>72.5</v>
      </c>
      <c r="C37" s="92">
        <v>1.88135001807999E-2</v>
      </c>
      <c r="D37" s="92">
        <v>2.2301599383400001E-2</v>
      </c>
      <c r="E37" s="92">
        <v>2.0949499681599999E-2</v>
      </c>
      <c r="F37" s="92">
        <v>1.9308000802999999E-2</v>
      </c>
      <c r="G37" s="92">
        <v>1.8978700041799999E-2</v>
      </c>
      <c r="H37" s="92">
        <v>2.8373600915099901E-2</v>
      </c>
      <c r="I37" s="92">
        <v>1.8065299838799901E-2</v>
      </c>
      <c r="J37" s="92">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124</v>
      </c>
      <c r="C2" t="s">
        <v>125</v>
      </c>
    </row>
    <row r="3" spans="2:4" x14ac:dyDescent="0.25">
      <c r="C3" t="s">
        <v>126</v>
      </c>
    </row>
    <row r="5" spans="2:4" x14ac:dyDescent="0.25">
      <c r="C5" s="74" t="s">
        <v>127</v>
      </c>
      <c r="D5" s="75" t="s">
        <v>128</v>
      </c>
    </row>
    <row r="6" spans="2:4" x14ac:dyDescent="0.25">
      <c r="C6" s="73" t="s">
        <v>60</v>
      </c>
      <c r="D6" s="54">
        <v>20</v>
      </c>
    </row>
    <row r="7" spans="2:4" x14ac:dyDescent="0.25">
      <c r="C7" s="73" t="s">
        <v>129</v>
      </c>
      <c r="D7" s="54">
        <v>20</v>
      </c>
    </row>
    <row r="8" spans="2:4" x14ac:dyDescent="0.25">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49D9A3-6AB6-49D7-B693-4556AF5D3D43}">
  <ds:schemaRefs>
    <ds:schemaRef ds:uri="http://schemas.microsoft.com/sharepoint/v3/contenttype/forms"/>
  </ds:schemaRefs>
</ds:datastoreItem>
</file>

<file path=customXml/itemProps2.xml><?xml version="1.0" encoding="utf-8"?>
<ds:datastoreItem xmlns:ds="http://schemas.openxmlformats.org/officeDocument/2006/customXml" ds:itemID="{CB3D40EF-33A4-4984-ADBF-D0158F683284}">
  <ds:schemaRefs>
    <ds:schemaRef ds:uri="http://schemas.microsoft.com/office/2006/metadata/properties"/>
    <ds:schemaRef ds:uri="B5D90540-3F5E-474C-9A86-D177C8B4CD2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bb691747-8bc2-4259-b27e-e7a3fc70b31c"/>
    <ds:schemaRef ds:uri="http://www.w3.org/XML/1998/namespace"/>
    <ds:schemaRef ds:uri="http://purl.org/dc/dcmitype/"/>
  </ds:schemaRefs>
</ds:datastoreItem>
</file>

<file path=customXml/itemProps3.xml><?xml version="1.0" encoding="utf-8"?>
<ds:datastoreItem xmlns:ds="http://schemas.openxmlformats.org/officeDocument/2006/customXml" ds:itemID="{BA7F79E0-5EA0-4284-933E-A0953602EA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2018-10-30T14:25:27Z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