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H6_SH288toGalvestonCL\"/>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52511"/>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<sst xmlns="http://schemas.openxmlformats.org/spreadsheetml/2006/main" count="262" uniqueCount="130">
  <si>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</si>
  <si>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</si>
  <si>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</si>
  <si>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</si>
  <si>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</si>
  <si>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</si>
  <si>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</si>
  <si>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</si>
  <si>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</si>
  <si>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</si>
  <si>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</si>
  <si>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</si>
  <si>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</si>
  <si>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</si>
  <si>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</si>
  <si>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</si>
  <si>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</si>
  <si>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</si>
  <si>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</si>
  <si>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</si>
  <si>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</si>
  <si>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</si>
  <si>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</si>
  <si>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</si>
  <si>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</si>
  <si>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</si>
  <si>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</si>
  <si>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</si>
  <si>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</si>
  <si>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</si>
  <si>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</si>
  <si>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</si>
  <si>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</si>
  <si>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</si>
  <si>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</si>
  <si>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</si>
  <si>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</si>
  <si>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</si>
  <si>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</si>
  <si>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</si>
  <si>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</si>
  <si>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</si>
  <si>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</si>
  <si>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</si>
  <si>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</si>
  <si>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</si>
  <si>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</si>
  <si>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</si>
  <si>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</si>
  <si>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</si>
  <si>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</si>
  <si>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</si>
  <si>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</si>
  <si>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</si>
  <si>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</si>
  <si>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</si>
  <si>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</si>
  <si>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</si>
  <si>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</si>
  <si>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</si>
  <si>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</si>
  <si>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</si>
  <si>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</si>
  <si>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</si>
  <si>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</si>
  <si>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</si>
  <si>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</si>
  <si>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</si>
  <si>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</si>
  <si>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</si>
  <si>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</si>
  <si>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</si>
  <si>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</si>
  <si>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</si>
  <si>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</si>
  <si>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</si>
  <si>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</si>
  <si>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</si>
  <si>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</si>
  <si>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</si>
  <si>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</si>
  <si>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</si>
  <si>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</si>
  <si>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</si>
  <si>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</si>
  <si>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</si>
  <si>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</si>
  <si>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</si>
  <si>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</si>
  <si>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</si>
  <si>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</si>
  <si>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</si>
  <si>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</si>
  <si>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</si>
  <si>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</si>
  <si>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</si>
  <si>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</si>
  <si>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</si>
  <si>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</si>
  <si>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</si>
  <si>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</si>
  <si>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</si>
  <si>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</si>
  <si>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</si>
  <si>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</si>
  <si>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</si>
  <si>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</si>
  <si>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</si>
  <si>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</si>
  <si>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</si>
  <si>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</si>
  <si>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</si>
  <si>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</si>
  <si>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</si>
  <si>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</si>
  <si>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</si>
  <si>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</si>
  <si>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</si>
  <si>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</si>
  <si>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</si>
  <si>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</si>
  <si>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</si>
  <si>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</si>
  <si>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</si>
  <si>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</si>
  <si>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</si>
  <si>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</si>
  <si>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</si>
  <si>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</si>
  <si>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Installation of ITS and Traffic Signal Integration SH 6</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</si>
</sst>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topLeftCell="A10" zoomScaleNormal="100" workbookViewId="0">
      <selection activeCell="F22" sqref="F22"/>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285</v>
      </c>
      <c r="D7" s="98"/>
      <c r="E7" s="99" t="s">
        <v>127</v>
      </c>
    </row>
    <row r="8" spans="1:5" x14ac:dyDescent="0.25">
      <c r="A8" s="6" t="s">
        <v>52</v>
      </c>
      <c r="B8" s="6"/>
      <c r="D8" s="103"/>
      <c r="E8" s="99" t="s">
        <v>92</v>
      </c>
    </row>
    <row r="9" spans="1:5" x14ac:dyDescent="0.25">
      <c r="A9" s="6" t="s">
        <v>64</v>
      </c>
      <c r="B9" s="104" t="s">
        <v>67</v>
      </c>
      <c r="D9" s="105"/>
      <c r="E9" s="99" t="s">
        <v>93</v>
      </c>
    </row>
    <row r="11" spans="1:5" x14ac:dyDescent="0.25">
      <c r="A11" s="63"/>
      <c r="B11" s="63"/>
    </row>
    <row r="12" spans="1:5" x14ac:dyDescent="0.25">
      <c r="A12" s="102" t="s">
        <v>85</v>
      </c>
      <c r="B12" s="63"/>
    </row>
    <row r="13" spans="1:5" x14ac:dyDescent="0.25">
      <c r="A13" s="6" t="s">
        <v>56</v>
      </c>
      <c r="B13" s="45">
        <v>2026</v>
      </c>
    </row>
    <row r="14" spans="1:5" x14ac:dyDescent="0.25">
      <c r="A14" s="6" t="s">
        <v>86</v>
      </c>
      <c r="B14" s="6" t="s">
        <v>123</v>
      </c>
    </row>
    <row r="15" spans="1:5" x14ac:dyDescent="0.25">
      <c r="A15" s="106" t="s">
        <v>87</v>
      </c>
      <c r="B15" s="57" t="s">
        <v>76</v>
      </c>
    </row>
    <row r="16" spans="1:5" x14ac:dyDescent="0.25">
      <c r="A16" s="106" t="s">
        <v>88</v>
      </c>
      <c r="B16" s="57">
        <v>13.5</v>
      </c>
    </row>
    <row r="17" spans="1:3" x14ac:dyDescent="0.25">
      <c r="A17" s="107" t="s">
        <v>95</v>
      </c>
      <c r="B17" s="57">
        <v>44</v>
      </c>
    </row>
    <row r="18" spans="1:3" x14ac:dyDescent="0.25">
      <c r="A18" s="107" t="s">
        <v>96</v>
      </c>
      <c r="B18" s="57">
        <v>48</v>
      </c>
    </row>
    <row r="19" spans="1:3" x14ac:dyDescent="0.25">
      <c r="A19" s="96" t="s">
        <v>97</v>
      </c>
      <c r="B19" s="97">
        <f>VLOOKUP(B14,'Service Life'!C6:D8,2,FALSE)</f>
        <v>12</v>
      </c>
    </row>
    <row r="21" spans="1:3" x14ac:dyDescent="0.25">
      <c r="A21" s="102" t="s">
        <v>89</v>
      </c>
    </row>
    <row r="22" spans="1:3" ht="20.25" customHeight="1" x14ac:dyDescent="0.25">
      <c r="A22" s="107" t="s">
        <v>90</v>
      </c>
      <c r="B22" s="119">
        <v>15023</v>
      </c>
    </row>
    <row r="23" spans="1:3" ht="30" x14ac:dyDescent="0.25">
      <c r="A23" s="118" t="s">
        <v>101</v>
      </c>
      <c r="B23" s="120">
        <v>17456</v>
      </c>
    </row>
    <row r="24" spans="1:3" ht="30" x14ac:dyDescent="0.25">
      <c r="A24" s="118" t="s">
        <v>102</v>
      </c>
      <c r="B24" s="120">
        <v>39022</v>
      </c>
    </row>
    <row r="27" spans="1:3" ht="18.75" x14ac:dyDescent="0.3">
      <c r="A27" s="100" t="s">
        <v>55</v>
      </c>
      <c r="B27" s="101"/>
    </row>
    <row r="29" spans="1:3" x14ac:dyDescent="0.25">
      <c r="A29" s="108" t="s">
        <v>53</v>
      </c>
    </row>
    <row r="30" spans="1:3" x14ac:dyDescent="0.25">
      <c r="A30" s="105" t="s">
        <v>112</v>
      </c>
      <c r="B30" s="114">
        <f>'Benefit Calculations'!M37</f>
        <v>-5594.7781467562327</v>
      </c>
    </row>
    <row r="31" spans="1:3" x14ac:dyDescent="0.25">
      <c r="A31" s="105" t="s">
        <v>113</v>
      </c>
      <c r="B31" s="114">
        <f>'Benefit Calculations'!Q37</f>
        <v>75.074481220371979</v>
      </c>
      <c r="C31" s="109"/>
    </row>
    <row r="32" spans="1:3" x14ac:dyDescent="0.25">
      <c r="A32" s="110"/>
      <c r="B32" s="111"/>
      <c r="C32" s="109"/>
    </row>
    <row r="33" spans="1:9" x14ac:dyDescent="0.25">
      <c r="A33" s="108" t="s">
        <v>94</v>
      </c>
      <c r="B33" s="111"/>
      <c r="C33" s="109"/>
    </row>
    <row r="34" spans="1:9" x14ac:dyDescent="0.25">
      <c r="A34" s="105" t="s">
        <v>114</v>
      </c>
      <c r="B34" s="114">
        <f>$B$30+$B$31</f>
        <v>-5519.7036655358606</v>
      </c>
      <c r="C34" s="109"/>
    </row>
    <row r="35" spans="1:9" x14ac:dyDescent="0.25">
      <c r="I35" s="112"/>
    </row>
    <row r="36" spans="1:9" x14ac:dyDescent="0.25">
      <c r="A36" s="108" t="s">
        <v>107</v>
      </c>
    </row>
    <row r="37" spans="1:9" x14ac:dyDescent="0.25">
      <c r="A37" s="105" t="s">
        <v>116</v>
      </c>
      <c r="B37" s="115">
        <f>'Benefit Calculations'!K37</f>
        <v>-1.8550809670892463</v>
      </c>
    </row>
    <row r="38" spans="1:9" x14ac:dyDescent="0.25">
      <c r="A38" s="105" t="s">
        <v>117</v>
      </c>
      <c r="B38" s="115">
        <f>'Benefit Calculations'!O37</f>
        <v>9.8107367731672723E-2</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5.9465900063499999E-2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1.13695003092E-2</v>
      </c>
      <c r="F4" s="70">
        <v>2018</v>
      </c>
      <c r="G4" s="80">
        <f>'Inputs &amp; Outputs'!B22</f>
        <v>15023</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6.13114014268E-2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1.12718995661E-2</v>
      </c>
      <c r="F5" s="70">
        <f t="shared" ref="F5:F36" si="2">F4+1</f>
        <v>2019</v>
      </c>
      <c r="G5" s="80">
        <f>G4+G4*H5</f>
        <v>15348.616964462213</v>
      </c>
      <c r="H5" s="79">
        <f>$C$9</f>
        <v>2.167456330042028E-2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15681.291534432354</v>
      </c>
      <c r="H6" s="79">
        <f t="shared" ref="H6:H11" si="7">$C$9</f>
        <v>2.167456330042028E-2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16021.176680427752</v>
      </c>
      <c r="H7" s="79">
        <f t="shared" si="7"/>
        <v>2.167456330042028E-2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16368.428688534901</v>
      </c>
      <c r="H8" s="79">
        <f t="shared" si="7"/>
        <v>2.167456330042028E-2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2.167456330042028E-2</v>
      </c>
      <c r="F9" s="70">
        <f t="shared" si="2"/>
        <v>2023</v>
      </c>
      <c r="G9" s="80">
        <f t="shared" si="6"/>
        <v>16723.207232272965</v>
      </c>
      <c r="H9" s="79">
        <f t="shared" si="7"/>
        <v>2.167456330042028E-2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3.2700985947103911E-2</v>
      </c>
      <c r="F10" s="70">
        <f t="shared" si="2"/>
        <v>2024</v>
      </c>
      <c r="G10" s="80">
        <f t="shared" si="6"/>
        <v>17085.675446014913</v>
      </c>
      <c r="H10" s="79">
        <f t="shared" si="7"/>
        <v>2.167456330042028E-2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3.5985816334691334E-2</v>
      </c>
      <c r="F11" s="70">
        <f t="shared" si="2"/>
        <v>2025</v>
      </c>
      <c r="G11" s="80">
        <f>'Inputs &amp; Outputs'!$B$23</f>
        <v>17456</v>
      </c>
      <c r="H11" s="79">
        <f t="shared" si="7"/>
        <v>2.167456330042028E-2</v>
      </c>
      <c r="I11" s="70">
        <f>IF(AND(F11&gt;='Inputs &amp; Outputs'!B$13,F11&lt;'Inputs &amp; Outputs'!B$13+'Inputs &amp; Outputs'!B$19),1,0)</f>
        <v>0</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18026.828410692648</v>
      </c>
      <c r="H12" s="79">
        <f>$C$10</f>
        <v>3.2700985947103911E-2</v>
      </c>
      <c r="I12" s="70">
        <f>IF(AND(F12&gt;='Inputs &amp; Outputs'!B$13,F12&lt;'Inputs &amp; Outputs'!B$13+'Inputs &amp; Outputs'!B$19),1,0)</f>
        <v>1</v>
      </c>
      <c r="J12" s="71">
        <f>I12*'Inputs &amp; Outputs'!B$16*'Benefit Calculations'!G12*('Benefit Calculations'!C$4-'Benefit Calculations'!C$5)</f>
        <v>-449.12524150676427</v>
      </c>
      <c r="K12" s="89">
        <f t="shared" si="3"/>
        <v>-0.1287198217690774</v>
      </c>
      <c r="L12" s="72">
        <f>K12*'Assumed Values'!$C$8</f>
        <v>-966.42842184223309</v>
      </c>
      <c r="M12" s="73">
        <f t="shared" si="0"/>
        <v>-562.47014042260128</v>
      </c>
      <c r="N12" s="88">
        <f>I12*'Inputs &amp; Outputs'!B$16*'Benefit Calculations'!G12*('Benefit Calculations'!D$4-'Benefit Calculations'!D$5)</f>
        <v>23.752329956367152</v>
      </c>
      <c r="O12" s="89">
        <f t="shared" si="4"/>
        <v>6.8074456655490608E-3</v>
      </c>
      <c r="P12" s="72">
        <f>ABS(O12*'Assumed Values'!$C$7)</f>
        <v>12.96818399287096</v>
      </c>
      <c r="Q12" s="73">
        <f t="shared" si="1"/>
        <v>7.5476011535254921</v>
      </c>
      <c r="T12" s="85">
        <f t="shared" si="5"/>
        <v>-0.11677256279175871</v>
      </c>
      <c r="U12" s="86">
        <f>T12*'Assumed Values'!$D$8</f>
        <v>0</v>
      </c>
    </row>
    <row r="13" spans="2:21" x14ac:dyDescent="0.25">
      <c r="B13" s="27"/>
      <c r="C13" s="68"/>
      <c r="F13" s="70">
        <f t="shared" si="2"/>
        <v>2027</v>
      </c>
      <c r="G13" s="80">
        <f t="shared" si="6"/>
        <v>18616.323473221561</v>
      </c>
      <c r="H13" s="79">
        <f t="shared" ref="H13:H36" si="8">$C$10</f>
        <v>3.2700985947103911E-2</v>
      </c>
      <c r="I13" s="70">
        <f>IF(AND(F13&gt;='Inputs &amp; Outputs'!B$13,F13&lt;'Inputs &amp; Outputs'!B$13+'Inputs &amp; Outputs'!B$19),1,0)</f>
        <v>1</v>
      </c>
      <c r="J13" s="71">
        <f>I13*'Inputs &amp; Outputs'!B$16*'Benefit Calculations'!G13*('Benefit Calculations'!C$4-'Benefit Calculations'!C$5)</f>
        <v>-463.81207971776655</v>
      </c>
      <c r="K13" s="89">
        <f t="shared" si="3"/>
        <v>-0.13292908685186172</v>
      </c>
      <c r="L13" s="72">
        <f>K13*'Assumed Values'!$C$8</f>
        <v>-998.03158408377783</v>
      </c>
      <c r="M13" s="73">
        <f t="shared" si="0"/>
        <v>-542.86305474787503</v>
      </c>
      <c r="N13" s="88">
        <f>I13*'Inputs &amp; Outputs'!B$16*'Benefit Calculations'!G13*('Benefit Calculations'!D$4-'Benefit Calculations'!D$5)</f>
        <v>24.529054564481289</v>
      </c>
      <c r="O13" s="89">
        <f t="shared" si="4"/>
        <v>7.0300558505938535E-3</v>
      </c>
      <c r="P13" s="72">
        <f>ABS(O13*'Assumed Values'!$C$7)</f>
        <v>13.39225639538129</v>
      </c>
      <c r="Q13" s="73">
        <f t="shared" si="1"/>
        <v>7.2845001427862366</v>
      </c>
      <c r="T13" s="85">
        <f t="shared" si="5"/>
        <v>-0.12059114072661929</v>
      </c>
      <c r="U13" s="86">
        <f>T13*'Assumed Values'!$D$8</f>
        <v>0</v>
      </c>
    </row>
    <row r="14" spans="2:21" x14ac:dyDescent="0.25">
      <c r="B14" s="27"/>
      <c r="C14" s="68"/>
      <c r="F14" s="70">
        <f t="shared" si="2"/>
        <v>2028</v>
      </c>
      <c r="G14" s="80">
        <f t="shared" si="6"/>
        <v>19225.095605506118</v>
      </c>
      <c r="H14" s="79">
        <f t="shared" si="8"/>
        <v>3.2700985947103911E-2</v>
      </c>
      <c r="I14" s="70">
        <f>IF(AND(F14&gt;='Inputs &amp; Outputs'!B$13,F14&lt;'Inputs &amp; Outputs'!B$13+'Inputs &amp; Outputs'!B$19),1,0)</f>
        <v>1</v>
      </c>
      <c r="J14" s="71">
        <f>I14*'Inputs &amp; Outputs'!B$16*'Benefit Calculations'!G14*('Benefit Calculations'!C$4-'Benefit Calculations'!C$5)</f>
        <v>-478.97919201871429</v>
      </c>
      <c r="K14" s="89">
        <f t="shared" si="3"/>
        <v>-0.13727599905296578</v>
      </c>
      <c r="L14" s="72">
        <f>K14*'Assumed Values'!$C$8</f>
        <v>-1030.6682008896671</v>
      </c>
      <c r="M14" s="73">
        <f t="shared" si="0"/>
        <v>-523.93945034802539</v>
      </c>
      <c r="N14" s="88">
        <f>I14*'Inputs &amp; Outputs'!B$16*'Benefit Calculations'!G14*('Benefit Calculations'!D$4-'Benefit Calculations'!D$5)</f>
        <v>25.331178833090135</v>
      </c>
      <c r="O14" s="89">
        <f t="shared" si="4"/>
        <v>7.2599456081714787E-3</v>
      </c>
      <c r="P14" s="72">
        <f>ABS(O14*'Assumed Values'!$C$7)</f>
        <v>13.830196383566667</v>
      </c>
      <c r="Q14" s="73">
        <f t="shared" si="1"/>
        <v>7.0305705416702491</v>
      </c>
      <c r="T14" s="85">
        <f t="shared" si="5"/>
        <v>-0.12453458992486571</v>
      </c>
      <c r="U14" s="86">
        <f>T14*'Assumed Values'!$D$8</f>
        <v>0</v>
      </c>
    </row>
    <row r="15" spans="2:21" x14ac:dyDescent="0.25">
      <c r="B15" s="27"/>
      <c r="C15" s="69"/>
      <c r="F15" s="70">
        <f t="shared" si="2"/>
        <v>2029</v>
      </c>
      <c r="G15" s="80">
        <f t="shared" si="6"/>
        <v>19853.775186733503</v>
      </c>
      <c r="H15" s="79">
        <f t="shared" si="8"/>
        <v>3.2700985947103911E-2</v>
      </c>
      <c r="I15" s="70">
        <f>IF(AND(F15&gt;='Inputs &amp; Outputs'!B$13,F15&lt;'Inputs &amp; Outputs'!B$13+'Inputs &amp; Outputs'!B$19),1,0)</f>
        <v>1</v>
      </c>
      <c r="J15" s="71">
        <f>I15*'Inputs &amp; Outputs'!B$16*'Benefit Calculations'!G15*('Benefit Calculations'!C$4-'Benefit Calculations'!C$5)</f>
        <v>-494.64228384587341</v>
      </c>
      <c r="K15" s="89">
        <f t="shared" si="3"/>
        <v>-0.14176505956887148</v>
      </c>
      <c r="L15" s="72">
        <f>K15*'Assumed Values'!$C$8</f>
        <v>-1064.372067243087</v>
      </c>
      <c r="M15" s="73">
        <f t="shared" si="0"/>
        <v>-505.67550182335464</v>
      </c>
      <c r="N15" s="88">
        <f>I15*'Inputs &amp; Outputs'!B$16*'Benefit Calculations'!G15*('Benefit Calculations'!D$4-'Benefit Calculations'!D$5)</f>
        <v>26.159533356134592</v>
      </c>
      <c r="O15" s="89">
        <f t="shared" si="4"/>
        <v>7.4973529874810332E-3</v>
      </c>
      <c r="P15" s="72">
        <f>ABS(O15*'Assumed Values'!$C$7)</f>
        <v>14.282457441151369</v>
      </c>
      <c r="Q15" s="73">
        <f t="shared" si="1"/>
        <v>6.7854926450032993</v>
      </c>
      <c r="T15" s="85">
        <f t="shared" si="5"/>
        <v>-0.1286069937999271</v>
      </c>
      <c r="U15" s="86">
        <f>T15*'Assumed Values'!$D$8</f>
        <v>0</v>
      </c>
    </row>
    <row r="16" spans="2:21" x14ac:dyDescent="0.25">
      <c r="B16" s="27"/>
      <c r="C16" s="69"/>
      <c r="F16" s="70">
        <f t="shared" si="2"/>
        <v>2030</v>
      </c>
      <c r="G16" s="80">
        <f t="shared" si="6"/>
        <v>20503.013210111836</v>
      </c>
      <c r="H16" s="79">
        <f t="shared" si="8"/>
        <v>3.2700985947103911E-2</v>
      </c>
      <c r="I16" s="70">
        <f>IF(AND(F16&gt;='Inputs &amp; Outputs'!B$13,F16&lt;'Inputs &amp; Outputs'!B$13+'Inputs &amp; Outputs'!B$19),1,0)</f>
        <v>1</v>
      </c>
      <c r="J16" s="71">
        <f>I16*'Inputs &amp; Outputs'!B$16*'Benefit Calculations'!G16*('Benefit Calculations'!C$4-'Benefit Calculations'!C$5)</f>
        <v>-510.81757421876074</v>
      </c>
      <c r="K16" s="89">
        <f t="shared" si="3"/>
        <v>-0.14640091678962347</v>
      </c>
      <c r="L16" s="72">
        <f>K16*'Assumed Values'!$C$8</f>
        <v>-1099.178083256493</v>
      </c>
      <c r="M16" s="73">
        <f t="shared" si="0"/>
        <v>-488.04821430119148</v>
      </c>
      <c r="N16" s="88">
        <f>I16*'Inputs &amp; Outputs'!B$16*'Benefit Calculations'!G16*('Benefit Calculations'!D$4-'Benefit Calculations'!D$5)</f>
        <v>27.014975888796346</v>
      </c>
      <c r="O16" s="89">
        <f t="shared" si="4"/>
        <v>7.7425238221651279E-3</v>
      </c>
      <c r="P16" s="72">
        <f>ABS(O16*'Assumed Values'!$C$7)</f>
        <v>14.749507881224568</v>
      </c>
      <c r="Q16" s="73">
        <f t="shared" si="1"/>
        <v>6.5489578921791871</v>
      </c>
      <c r="T16" s="85">
        <f t="shared" si="5"/>
        <v>-0.13281256929687779</v>
      </c>
      <c r="U16" s="86">
        <f>T16*'Assumed Values'!$D$8</f>
        <v>0</v>
      </c>
    </row>
    <row r="17" spans="2:21" x14ac:dyDescent="0.25">
      <c r="B17" s="27"/>
      <c r="C17" s="69"/>
      <c r="F17" s="70">
        <f t="shared" si="2"/>
        <v>2031</v>
      </c>
      <c r="G17" s="80">
        <f t="shared" si="6"/>
        <v>21173.48195696899</v>
      </c>
      <c r="H17" s="79">
        <f t="shared" si="8"/>
        <v>3.2700985947103911E-2</v>
      </c>
      <c r="I17" s="70">
        <f>IF(AND(F17&gt;='Inputs &amp; Outputs'!B$13,F17&lt;'Inputs &amp; Outputs'!B$13+'Inputs &amp; Outputs'!B$19),1,0)</f>
        <v>1</v>
      </c>
      <c r="J17" s="71">
        <f>I17*'Inputs &amp; Outputs'!B$16*'Benefit Calculations'!G17*('Benefit Calculations'!C$4-'Benefit Calculations'!C$5)</f>
        <v>-527.52181253482217</v>
      </c>
      <c r="K17" s="89">
        <f t="shared" si="3"/>
        <v>-0.15118837111220412</v>
      </c>
      <c r="L17" s="72">
        <f>K17*'Assumed Values'!$C$8</f>
        <v>-1135.1222903104285</v>
      </c>
      <c r="M17" s="73">
        <f t="shared" si="0"/>
        <v>-471.03539448463931</v>
      </c>
      <c r="N17" s="88">
        <f>I17*'Inputs &amp; Outputs'!B$16*'Benefit Calculations'!G17*('Benefit Calculations'!D$4-'Benefit Calculations'!D$5)</f>
        <v>27.898392235697226</v>
      </c>
      <c r="O17" s="89">
        <f t="shared" si="4"/>
        <v>7.9957119848688678E-3</v>
      </c>
      <c r="P17" s="72">
        <f>ABS(O17*'Assumed Values'!$C$7)</f>
        <v>15.231831331175194</v>
      </c>
      <c r="Q17" s="73">
        <f t="shared" si="1"/>
        <v>6.3206684786724434</v>
      </c>
      <c r="T17" s="85">
        <f t="shared" si="5"/>
        <v>-0.13715567125905379</v>
      </c>
      <c r="U17" s="86">
        <f>T17*'Assumed Values'!$D$8</f>
        <v>0</v>
      </c>
    </row>
    <row r="18" spans="2:21" x14ac:dyDescent="0.25">
      <c r="F18" s="70">
        <f t="shared" si="2"/>
        <v>2032</v>
      </c>
      <c r="G18" s="80">
        <f t="shared" si="6"/>
        <v>21865.87569289509</v>
      </c>
      <c r="H18" s="79">
        <f t="shared" si="8"/>
        <v>3.2700985947103911E-2</v>
      </c>
      <c r="I18" s="70">
        <f>IF(AND(F18&gt;='Inputs &amp; Outputs'!B$13,F18&lt;'Inputs &amp; Outputs'!B$13+'Inputs &amp; Outputs'!B$19),1,0)</f>
        <v>1</v>
      </c>
      <c r="J18" s="71">
        <f>I18*'Inputs &amp; Outputs'!B$16*'Benefit Calculations'!G18*('Benefit Calculations'!C$4-'Benefit Calculations'!C$5)</f>
        <v>-544.77229591331411</v>
      </c>
      <c r="K18" s="89">
        <f t="shared" si="3"/>
        <v>-0.15613237991130982</v>
      </c>
      <c r="L18" s="72">
        <f>K18*'Assumed Values'!$C$8</f>
        <v>-1172.2419083741142</v>
      </c>
      <c r="M18" s="73">
        <f t="shared" si="0"/>
        <v>-454.61562271053276</v>
      </c>
      <c r="N18" s="88">
        <f>I18*'Inputs &amp; Outputs'!B$16*'Benefit Calculations'!G18*('Benefit Calculations'!D$4-'Benefit Calculations'!D$5)</f>
        <v>28.810697168143552</v>
      </c>
      <c r="O18" s="89">
        <f t="shared" si="4"/>
        <v>8.2571796501231531E-3</v>
      </c>
      <c r="P18" s="72">
        <f>ABS(O18*'Assumed Values'!$C$7)</f>
        <v>15.729927233484606</v>
      </c>
      <c r="Q18" s="73">
        <f t="shared" si="1"/>
        <v>6.1003369810932817</v>
      </c>
      <c r="T18" s="85">
        <f t="shared" si="5"/>
        <v>-0.14164079693746168</v>
      </c>
      <c r="U18" s="86">
        <f>T18*'Assumed Values'!$D$8</f>
        <v>0</v>
      </c>
    </row>
    <row r="19" spans="2:21" x14ac:dyDescent="0.25">
      <c r="F19" s="70">
        <f t="shared" si="2"/>
        <v>2033</v>
      </c>
      <c r="G19" s="80">
        <f t="shared" si="6"/>
        <v>22580.911386649572</v>
      </c>
      <c r="H19" s="79">
        <f t="shared" si="8"/>
        <v>3.2700985947103911E-2</v>
      </c>
      <c r="I19" s="70">
        <f>IF(AND(F19&gt;='Inputs &amp; Outputs'!B$13,F19&lt;'Inputs &amp; Outputs'!B$13+'Inputs &amp; Outputs'!B$19),1,0)</f>
        <v>1</v>
      </c>
      <c r="J19" s="71">
        <f>I19*'Inputs &amp; Outputs'!B$16*'Benefit Calculations'!G19*('Benefit Calculations'!C$4-'Benefit Calculations'!C$5)</f>
        <v>-562.58688710634692</v>
      </c>
      <c r="K19" s="89">
        <f t="shared" si="3"/>
        <v>-0.1612380626726774</v>
      </c>
      <c r="L19" s="72">
        <f>K19*'Assumed Values'!$C$8</f>
        <v>-1210.5753745464619</v>
      </c>
      <c r="M19" s="73">
        <f t="shared" si="0"/>
        <v>-438.76822598142388</v>
      </c>
      <c r="N19" s="88">
        <f>I19*'Inputs &amp; Outputs'!B$16*'Benefit Calculations'!G19*('Benefit Calculations'!D$4-'Benefit Calculations'!D$5)</f>
        <v>29.752835371365283</v>
      </c>
      <c r="O19" s="89">
        <f t="shared" si="4"/>
        <v>8.5271975658245437E-3</v>
      </c>
      <c r="P19" s="72">
        <f>ABS(O19*'Assumed Values'!$C$7)</f>
        <v>16.244311362895754</v>
      </c>
      <c r="Q19" s="73">
        <f t="shared" si="1"/>
        <v>5.8876859953127205</v>
      </c>
      <c r="T19" s="85">
        <f t="shared" si="5"/>
        <v>-0.14627259064765022</v>
      </c>
      <c r="U19" s="86">
        <f>T19*'Assumed Values'!$D$8</f>
        <v>0</v>
      </c>
    </row>
    <row r="20" spans="2:21" x14ac:dyDescent="0.25">
      <c r="F20" s="70">
        <f t="shared" si="2"/>
        <v>2034</v>
      </c>
      <c r="G20" s="80">
        <f t="shared" si="6"/>
        <v>23319.3294525772</v>
      </c>
      <c r="H20" s="79">
        <f t="shared" si="8"/>
        <v>3.2700985947103911E-2</v>
      </c>
      <c r="I20" s="70">
        <f>IF(AND(F20&gt;='Inputs &amp; Outputs'!B$13,F20&lt;'Inputs &amp; Outputs'!B$13+'Inputs &amp; Outputs'!B$19),1,0)</f>
        <v>1</v>
      </c>
      <c r="J20" s="71">
        <f>I20*'Inputs &amp; Outputs'!B$16*'Benefit Calculations'!G20*('Benefit Calculations'!C$4-'Benefit Calculations'!C$5)</f>
        <v>-580.98403299563654</v>
      </c>
      <c r="K20" s="89">
        <f t="shared" si="3"/>
        <v>-0.16651070629427495</v>
      </c>
      <c r="L20" s="72">
        <f>K20*'Assumed Values'!$C$8</f>
        <v>-1250.1623828574163</v>
      </c>
      <c r="M20" s="73">
        <f t="shared" si="0"/>
        <v>-423.47325193764334</v>
      </c>
      <c r="N20" s="88">
        <f>I20*'Inputs &amp; Outputs'!B$16*'Benefit Calculations'!G20*('Benefit Calculations'!D$4-'Benefit Calculations'!D$5)</f>
        <v>30.725782422730791</v>
      </c>
      <c r="O20" s="89">
        <f t="shared" si="4"/>
        <v>8.8060453335927508E-3</v>
      </c>
      <c r="P20" s="72">
        <f>ABS(O20*'Assumed Values'!$C$7)</f>
        <v>16.775516360494191</v>
      </c>
      <c r="Q20" s="73">
        <f t="shared" si="1"/>
        <v>5.6824477872022472</v>
      </c>
      <c r="T20" s="85">
        <f t="shared" si="5"/>
        <v>-0.1510558485788655</v>
      </c>
      <c r="U20" s="86">
        <f>T20*'Assumed Values'!$D$8</f>
        <v>0</v>
      </c>
    </row>
    <row r="21" spans="2:21" x14ac:dyDescent="0.25">
      <c r="F21" s="70">
        <f t="shared" si="2"/>
        <v>2035</v>
      </c>
      <c r="G21" s="80">
        <f t="shared" si="6"/>
        <v>24081.894517301815</v>
      </c>
      <c r="H21" s="79">
        <f t="shared" si="8"/>
        <v>3.2700985947103911E-2</v>
      </c>
      <c r="I21" s="70">
        <f>IF(AND(F21&gt;='Inputs &amp; Outputs'!B$13,F21&lt;'Inputs &amp; Outputs'!B$13+'Inputs &amp; Outputs'!B$19),1,0)</f>
        <v>1</v>
      </c>
      <c r="J21" s="71">
        <f>I21*'Inputs &amp; Outputs'!B$16*'Benefit Calculations'!G21*('Benefit Calculations'!C$4-'Benefit Calculations'!C$5)</f>
        <v>-599.98278369411867</v>
      </c>
      <c r="K21" s="89">
        <f t="shared" si="3"/>
        <v>-0.17195577056084635</v>
      </c>
      <c r="L21" s="72">
        <f>K21*'Assumed Values'!$C$8</f>
        <v>-1291.0439253708344</v>
      </c>
      <c r="M21" s="73">
        <f t="shared" si="0"/>
        <v>-408.71144373666402</v>
      </c>
      <c r="N21" s="88">
        <f>I21*'Inputs &amp; Outputs'!B$16*'Benefit Calculations'!G21*('Benefit Calculations'!D$4-'Benefit Calculations'!D$5)</f>
        <v>31.730545801950289</v>
      </c>
      <c r="O21" s="89">
        <f t="shared" si="4"/>
        <v>9.0940116982961283E-3</v>
      </c>
      <c r="P21" s="72">
        <f>ABS(O21*'Assumed Values'!$C$7)</f>
        <v>17.324092285254125</v>
      </c>
      <c r="Q21" s="73">
        <f t="shared" si="1"/>
        <v>5.4843639555483179</v>
      </c>
      <c r="T21" s="85">
        <f t="shared" si="5"/>
        <v>-0.15599552376047085</v>
      </c>
      <c r="U21" s="86">
        <f>T21*'Assumed Values'!$D$8</f>
        <v>0</v>
      </c>
    </row>
    <row r="22" spans="2:21" x14ac:dyDescent="0.25">
      <c r="F22" s="70">
        <f t="shared" si="2"/>
        <v>2036</v>
      </c>
      <c r="G22" s="80">
        <f t="shared" si="6"/>
        <v>24869.396211491741</v>
      </c>
      <c r="H22" s="79">
        <f t="shared" si="8"/>
        <v>3.2700985947103911E-2</v>
      </c>
      <c r="I22" s="70">
        <f>IF(AND(F22&gt;='Inputs &amp; Outputs'!B$13,F22&lt;'Inputs &amp; Outputs'!B$13+'Inputs &amp; Outputs'!B$19),1,0)</f>
        <v>1</v>
      </c>
      <c r="J22" s="71">
        <f>I22*'Inputs &amp; Outputs'!B$16*'Benefit Calculations'!G22*('Benefit Calculations'!C$4-'Benefit Calculations'!C$5)</f>
        <v>-619.60281227220435</v>
      </c>
      <c r="K22" s="89">
        <f t="shared" si="3"/>
        <v>-0.17757889379748001</v>
      </c>
      <c r="L22" s="72">
        <f>K22*'Assumed Values'!$C$8</f>
        <v>-1333.2623346314799</v>
      </c>
      <c r="M22" s="73">
        <f t="shared" si="0"/>
        <v>-394.46421580814695</v>
      </c>
      <c r="N22" s="88">
        <f>I22*'Inputs &amp; Outputs'!B$16*'Benefit Calculations'!G22*('Benefit Calculations'!D$4-'Benefit Calculations'!D$5)</f>
        <v>32.768165934313807</v>
      </c>
      <c r="O22" s="89">
        <f t="shared" si="4"/>
        <v>9.3913948470449107E-3</v>
      </c>
      <c r="P22" s="72">
        <f>ABS(O22*'Assumed Values'!$C$7)</f>
        <v>17.890607183620556</v>
      </c>
      <c r="Q22" s="73">
        <f t="shared" si="1"/>
        <v>5.2931851067172975</v>
      </c>
      <c r="T22" s="85">
        <f t="shared" si="5"/>
        <v>-0.16109673119077314</v>
      </c>
      <c r="U22" s="86">
        <f>T22*'Assumed Values'!$D$8</f>
        <v>0</v>
      </c>
    </row>
    <row r="23" spans="2:21" x14ac:dyDescent="0.25">
      <c r="F23" s="70">
        <f t="shared" si="2"/>
        <v>2037</v>
      </c>
      <c r="G23" s="80">
        <f t="shared" si="6"/>
        <v>25682.649987516692</v>
      </c>
      <c r="H23" s="79">
        <f t="shared" si="8"/>
        <v>3.2700985947103911E-2</v>
      </c>
      <c r="I23" s="70">
        <f>IF(AND(F23&gt;='Inputs &amp; Outputs'!B$13,F23&lt;'Inputs &amp; Outputs'!B$13+'Inputs &amp; Outputs'!B$19),1,0)</f>
        <v>1</v>
      </c>
      <c r="J23" s="71">
        <f>I23*'Inputs &amp; Outputs'!B$16*'Benefit Calculations'!G23*('Benefit Calculations'!C$4-'Benefit Calculations'!C$5)</f>
        <v>-639.86443512910375</v>
      </c>
      <c r="K23" s="89">
        <f t="shared" si="3"/>
        <v>-0.18338589870805369</v>
      </c>
      <c r="L23" s="72">
        <f>K23*'Assumed Values'!$C$8</f>
        <v>-1376.8613275000671</v>
      </c>
      <c r="M23" s="73">
        <f t="shared" si="0"/>
        <v>-380.71363045413506</v>
      </c>
      <c r="N23" s="88">
        <f>I23*'Inputs &amp; Outputs'!B$16*'Benefit Calculations'!G23*('Benefit Calculations'!D$4-'Benefit Calculations'!D$5)</f>
        <v>33.839717268044168</v>
      </c>
      <c r="O23" s="89">
        <f t="shared" si="4"/>
        <v>9.6985027179618301E-3</v>
      </c>
      <c r="P23" s="72">
        <f>ABS(O23*'Assumed Values'!$C$7)</f>
        <v>18.475647677717287</v>
      </c>
      <c r="Q23" s="73">
        <f t="shared" si="1"/>
        <v>5.108670540661195</v>
      </c>
      <c r="T23" s="85">
        <f t="shared" si="5"/>
        <v>-0.16636475313356697</v>
      </c>
      <c r="U23" s="86">
        <f>T23*'Assumed Values'!$D$8</f>
        <v>0</v>
      </c>
    </row>
    <row r="24" spans="2:21" x14ac:dyDescent="0.25">
      <c r="F24" s="70">
        <f t="shared" si="2"/>
        <v>2038</v>
      </c>
      <c r="G24" s="80">
        <f t="shared" si="6"/>
        <v>26522.497963842863</v>
      </c>
      <c r="H24" s="79">
        <f t="shared" si="8"/>
        <v>3.2700985947103911E-2</v>
      </c>
      <c r="I24" s="70">
        <f>IF(AND(F24&gt;='Inputs &amp; Outputs'!B$13,F24&lt;'Inputs &amp; Outputs'!B$13+'Inputs &amp; Outputs'!B$19),1,0)</f>
        <v>0</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27389.80979704058</v>
      </c>
      <c r="H25" s="79">
        <f t="shared" si="8"/>
        <v>3.2700985947103911E-2</v>
      </c>
      <c r="I25" s="70">
        <f>IF(AND(F25&gt;='Inputs &amp; Outputs'!B$13,F25&lt;'Inputs &amp; Outputs'!B$13+'Inputs &amp; Outputs'!B$19),1,0)</f>
        <v>0</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28285.483582307454</v>
      </c>
      <c r="H26" s="79">
        <f t="shared" si="8"/>
        <v>3.2700985947103911E-2</v>
      </c>
      <c r="I26" s="70">
        <f>IF(AND(F26&gt;='Inputs &amp; Outputs'!B$13,F26&lt;'Inputs &amp; Outputs'!B$13+'Inputs &amp; Outputs'!B$19),1,0)</f>
        <v>0</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29210.446783439529</v>
      </c>
      <c r="H27" s="79">
        <f t="shared" si="8"/>
        <v>3.2700985947103911E-2</v>
      </c>
      <c r="I27" s="70">
        <f>IF(AND(F27&gt;='Inputs &amp; Outputs'!B$13,F27&lt;'Inputs &amp; Outputs'!B$13+'Inputs &amp; Outputs'!B$19),1,0)</f>
        <v>0</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30165.65719321341</v>
      </c>
      <c r="H28" s="79">
        <f t="shared" si="8"/>
        <v>3.2700985947103911E-2</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31152.103925173837</v>
      </c>
      <c r="H29" s="79">
        <f t="shared" si="8"/>
        <v>3.2700985947103911E-2</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32170.808437853666</v>
      </c>
      <c r="H30" s="79">
        <f t="shared" si="8"/>
        <v>3.2700985947103911E-2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39022</v>
      </c>
      <c r="H31" s="79">
        <f t="shared" si="8"/>
        <v>3.2700985947103911E-2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40298.057873627891</v>
      </c>
      <c r="H32" s="79">
        <f t="shared" si="8"/>
        <v>3.2700985947103911E-2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41615.844097848974</v>
      </c>
      <c r="H33" s="79">
        <f t="shared" si="8"/>
        <v>3.2700985947103911E-2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42976.723230869604</v>
      </c>
      <c r="H34" s="79">
        <f t="shared" si="8"/>
        <v>3.2700985947103911E-2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44382.104453294844</v>
      </c>
      <c r="H35" s="79">
        <f t="shared" si="8"/>
        <v>3.2700985947103911E-2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45833.443027324938</v>
      </c>
      <c r="H36" s="79">
        <f t="shared" si="8"/>
        <v>3.2700985947103911E-2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-6472.6914309534268</v>
      </c>
      <c r="K37" s="71">
        <f t="shared" ref="K37:Q37" si="9">SUM(K4:K36)</f>
        <v>-1.8550809670892463</v>
      </c>
      <c r="L37" s="74">
        <f t="shared" si="9"/>
        <v>-13927.94790090606</v>
      </c>
      <c r="M37" s="75">
        <f t="shared" si="9"/>
        <v>-5594.7781467562327</v>
      </c>
      <c r="N37" s="88">
        <f t="shared" si="9"/>
        <v>342.31320880111463</v>
      </c>
      <c r="O37" s="88">
        <f t="shared" si="9"/>
        <v>9.8107367731672723E-2</v>
      </c>
      <c r="P37" s="76">
        <f t="shared" si="9"/>
        <v>186.89453552883654</v>
      </c>
      <c r="Q37" s="75">
        <f t="shared" si="9"/>
        <v>75.074481220371979</v>
      </c>
      <c r="T37" s="85">
        <f>SUM(T4:T36)</f>
        <v>-1.6828997720478909</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12</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2018-04-10T17:15:43Z</cp:lastPrinted>
  <dcterms:created xsi:type="dcterms:W3CDTF">2012-07-25T15:48:32Z</dcterms:created>
  <dcterms:modified xsi:type="dcterms:W3CDTF">2018-10-31T18:08:56Z</dcterms:modified>
</cp:coreProperties>
</file>