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taylo1\Desktop\CallForProjects\SH6_SH288toGalvestonCL\"/>
    </mc:Choice>
  </mc:AlternateContent>
  <bookViews>
    <workbookView xWindow="0" yWindow="0" windowWidth="21570" windowHeight="10335" tabRatio="763" activeTab="3"/>
  </bookViews>
  <sheets>
    <sheet name="Instructions" sheetId="8" r:id="rId1"/>
    <sheet name="ITS Delay Worksheet" sheetId="7" state="hidden" r:id="rId2"/>
    <sheet name="Emissions Reduction Worksheet" sheetId="5" state="hidden" r:id="rId3"/>
    <sheet name="Inputs &amp; Outputs" sheetId="11" r:id="rId4"/>
    <sheet name="Calculations" sheetId="12" r:id="rId5"/>
  </sheets>
  <definedNames>
    <definedName name="_2018_2025_Demand_Growth">Calculations!#REF!</definedName>
    <definedName name="_2018_2025_V_C_Growth">Calculations!#REF!</definedName>
    <definedName name="_2018_2045_Demand_Growth">Calculations!#REF!</definedName>
    <definedName name="_2018_2045_V_C_Growth">Calculations!#REF!</definedName>
    <definedName name="_2018_Capacity">'Inputs &amp; Outputs'!#REF!</definedName>
    <definedName name="_2018_V_C_Ratio">Calculations!#REF!</definedName>
    <definedName name="_2018_Volume">'Inputs &amp; Outputs'!#REF!</definedName>
    <definedName name="_2025_2045_Demand_Growth">Calculations!#REF!</definedName>
    <definedName name="_2025_2045_V_C_Growth">Calculations!#REF!</definedName>
    <definedName name="_2025_Capacity">'Inputs &amp; Outputs'!#REF!</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Calculations!#REF!</definedName>
    <definedName name="Application_ID_Number">'Inputs &amp; Outputs'!$B$7</definedName>
    <definedName name="Base_Year">Calculations!#REF!</definedName>
    <definedName name="Discount_Rate">Calculations!#REF!</definedName>
    <definedName name="Name">'Inputs &amp; Outputs'!$B$6</definedName>
    <definedName name="_xlnm.Print_Area" localSheetId="4">Calculations!$A$3:$H$26</definedName>
    <definedName name="_xlnm.Print_Area" localSheetId="2">'Emissions Reduction Worksheet'!$A$3:$K$33</definedName>
    <definedName name="_xlnm.Print_Area" localSheetId="3">'Inputs &amp; Outputs'!$A$3:$E$26</definedName>
    <definedName name="_xlnm.Print_Area" localSheetId="0">Instructions!$A$1:$G$13</definedName>
    <definedName name="_xlnm.Print_Area" localSheetId="1">'ITS Delay Worksheet'!$A$3:$J$33</definedName>
    <definedName name="Real_wage_growth_rate">Calculations!#REF!</definedName>
    <definedName name="Sponsor_ID_Number__CSJ__etc.">'Inputs &amp; Outputs'!$B$8</definedName>
    <definedName name="Value_of_Delay_Savings__2018_____000s">Calculations!#REF!+Calculations!#REF!</definedName>
    <definedName name="Value_of_Travel_Time__VoTT___2018">Calculations!#REF!</definedName>
    <definedName name="Vehicle_Occupancy">Calculations!#REF!</definedName>
    <definedName name="Year_Open_to_Traffic?">'Inputs &amp; Outputs'!$B$9</definedName>
    <definedName name="Years_to_include_in_BCA_Analysis">Calculations!#REF!</definedName>
  </definedNames>
  <calcPr calcId="152511"/>
</workbook>
</file>

<file path=xl/calcChain.xml><?xml version="1.0" encoding="utf-8"?>
<calcChain xmlns="http://schemas.openxmlformats.org/spreadsheetml/2006/main">
  <c r="G8" i="11" l="1"/>
  <c r="F8" i="11"/>
  <c r="J4" i="12" l="1"/>
  <c r="B7" i="12" s="1"/>
  <c r="F9" i="11"/>
  <c r="G9" i="11"/>
  <c r="F10" i="11" s="1"/>
  <c r="F11" i="11" s="1"/>
  <c r="B6" i="12"/>
  <c r="B5" i="12"/>
  <c r="B4" i="12"/>
  <c r="B10" i="12" l="1"/>
  <c r="B8" i="12"/>
  <c r="B9" i="12"/>
  <c r="K4" i="12"/>
  <c r="E4" i="12"/>
  <c r="I4" i="12"/>
  <c r="F4" i="12" l="1"/>
  <c r="B18" i="5"/>
  <c r="E17" i="5" s="1"/>
  <c r="B19" i="5"/>
  <c r="E18" i="5" s="1"/>
  <c r="G4" i="7"/>
  <c r="H4" i="7" s="1"/>
  <c r="G4" i="5"/>
  <c r="G5" i="5" s="1"/>
  <c r="G6" i="5" s="1"/>
  <c r="G7" i="5" s="1"/>
  <c r="G8" i="5" s="1"/>
  <c r="G9" i="5" s="1"/>
  <c r="G10" i="5" s="1"/>
  <c r="G11" i="5" s="1"/>
  <c r="G12" i="5" s="1"/>
  <c r="G13" i="5" s="1"/>
  <c r="G14" i="5" s="1"/>
  <c r="B18" i="7"/>
  <c r="B17" i="7"/>
  <c r="B16" i="7"/>
  <c r="E17" i="7"/>
  <c r="I4" i="7" l="1"/>
  <c r="G5" i="7"/>
  <c r="H5" i="7" s="1"/>
  <c r="B21" i="5"/>
  <c r="J14" i="5"/>
  <c r="H14" i="5"/>
  <c r="G15" i="5"/>
  <c r="H10" i="5"/>
  <c r="H6" i="5"/>
  <c r="H11" i="5"/>
  <c r="B20" i="5"/>
  <c r="J5" i="5"/>
  <c r="J13" i="5"/>
  <c r="J11" i="5"/>
  <c r="J10" i="5"/>
  <c r="J9" i="5"/>
  <c r="J4" i="5"/>
  <c r="J12" i="5"/>
  <c r="J8" i="5"/>
  <c r="J7" i="5"/>
  <c r="J6" i="5"/>
  <c r="H12" i="5"/>
  <c r="H4" i="5"/>
  <c r="H13" i="5"/>
  <c r="H5" i="5"/>
  <c r="H7" i="5"/>
  <c r="H8" i="5"/>
  <c r="H9" i="5"/>
  <c r="I5" i="7" l="1"/>
  <c r="G6" i="7"/>
  <c r="G7" i="7" s="1"/>
  <c r="K5" i="5"/>
  <c r="K10" i="5"/>
  <c r="K4" i="5"/>
  <c r="K11" i="5"/>
  <c r="K7" i="5"/>
  <c r="K8" i="5"/>
  <c r="K12" i="5"/>
  <c r="K9" i="5"/>
  <c r="K6" i="5"/>
  <c r="K13" i="5"/>
  <c r="K14" i="5"/>
  <c r="H15" i="5"/>
  <c r="G16" i="5"/>
  <c r="J15" i="5"/>
  <c r="K15" i="5" s="1"/>
  <c r="I13" i="5"/>
  <c r="I7" i="5"/>
  <c r="I8" i="5"/>
  <c r="I10" i="5"/>
  <c r="I9" i="5"/>
  <c r="I14" i="5"/>
  <c r="I12" i="5"/>
  <c r="I5" i="5"/>
  <c r="I6" i="5"/>
  <c r="I11" i="5"/>
  <c r="B19" i="7"/>
  <c r="I4" i="5"/>
  <c r="H6" i="7" l="1"/>
  <c r="I6" i="7" s="1"/>
  <c r="H16" i="5"/>
  <c r="I16" i="5" s="1"/>
  <c r="J16" i="5"/>
  <c r="K16" i="5" s="1"/>
  <c r="G17" i="5"/>
  <c r="I15" i="5"/>
  <c r="G8" i="7"/>
  <c r="H7" i="7"/>
  <c r="I7" i="7" s="1"/>
  <c r="J7" i="7" s="1"/>
  <c r="J6" i="7"/>
  <c r="J5" i="7"/>
  <c r="J4" i="7"/>
  <c r="H8" i="7" l="1"/>
  <c r="I8" i="7" s="1"/>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s="1"/>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B11" i="5" s="1"/>
  <c r="B12" i="5" s="1"/>
  <c r="G25" i="5"/>
  <c r="G26" i="5" l="1"/>
  <c r="H25" i="5"/>
  <c r="I25" i="5" s="1"/>
  <c r="J25" i="5"/>
  <c r="K25" i="5" s="1"/>
  <c r="H16" i="7"/>
  <c r="I16" i="7"/>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c r="J19" i="7" s="1"/>
  <c r="G20" i="7"/>
  <c r="G21" i="7" l="1"/>
  <c r="H20" i="7"/>
  <c r="I20" i="7" s="1"/>
  <c r="J20" i="7" s="1"/>
  <c r="J29" i="5"/>
  <c r="K29" i="5" s="1"/>
  <c r="H29" i="5"/>
  <c r="I29" i="5" l="1"/>
  <c r="B13" i="5"/>
  <c r="H21" i="7"/>
  <c r="I21" i="7" s="1"/>
  <c r="J21" i="7" s="1"/>
  <c r="G22" i="7"/>
  <c r="H22" i="7" l="1"/>
  <c r="I22" i="7" s="1"/>
  <c r="J22" i="7" s="1"/>
  <c r="G23" i="7"/>
  <c r="G24" i="7" l="1"/>
  <c r="H23" i="7"/>
  <c r="I23" i="7" s="1"/>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alcChain>
</file>

<file path=xl/sharedStrings.xml><?xml version="1.0" encoding="utf-8"?>
<sst xmlns="http://schemas.openxmlformats.org/spreadsheetml/2006/main" count="197" uniqueCount="143">
  <si>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</si>
  <si>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</si>
  <si>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</si>
  <si>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</si>
  <si>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</si>
  <si>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</si>
  <si>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</si>
  <si>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</si>
  <si>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</si>
  <si>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</si>
  <si>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</si>
  <si>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</si>
  <si>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</si>
  <si>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</si>
  <si>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</si>
  <si>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Interim Calculations</t>
  </si>
  <si>
    <t>Annual Days of Travel</t>
  </si>
  <si>
    <t>Delay B/C Ratio</t>
  </si>
  <si>
    <t>BCA Results</t>
  </si>
  <si>
    <t>Daily System/Facility Data</t>
  </si>
  <si>
    <t>Annual VHT Savings</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</si>
  <si>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</si>
  <si>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</si>
  <si>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</si>
  <si>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</si>
  <si>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</si>
  <si>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</si>
  <si>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</si>
  <si>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</si>
  <si>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</si>
  <si>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</si>
  <si>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</si>
  <si>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</si>
  <si>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</si>
  <si>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</si>
  <si>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</si>
  <si>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</si>
  <si>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</si>
  <si>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</si>
  <si>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</si>
  <si>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</si>
  <si>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</si>
  <si>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</si>
  <si>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</si>
  <si>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</si>
  <si>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</si>
  <si>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</si>
  <si>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</si>
  <si>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</si>
  <si>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Daily Travel Demand</t>
  </si>
  <si>
    <t>INPUTS</t>
  </si>
  <si>
    <r>
      <t xml:space="preserve">Year Open to Traffic? </t>
    </r>
    <r>
      <rPr>
        <b/>
        <sz val="11"/>
        <color theme="1"/>
        <rFont val="Calibri"/>
        <family val="2"/>
        <scheme val="minor"/>
      </rPr>
      <t>(Must be &gt;=2021)</t>
    </r>
  </si>
  <si>
    <t>After implementation</t>
  </si>
  <si>
    <t>Before implementation</t>
  </si>
  <si>
    <t>ADT</t>
  </si>
  <si>
    <t>Number of Lanes</t>
  </si>
  <si>
    <t>ADT per lane</t>
  </si>
  <si>
    <t>Project Type</t>
  </si>
  <si>
    <t>Facility Type</t>
  </si>
  <si>
    <t>Access management</t>
  </si>
  <si>
    <t>Grade separation</t>
  </si>
  <si>
    <t>ITS infrastructure</t>
  </si>
  <si>
    <t>Added capacity</t>
  </si>
  <si>
    <t>Urban freeway</t>
  </si>
  <si>
    <t>Urban principal arterial</t>
  </si>
  <si>
    <t>Other urban street</t>
  </si>
  <si>
    <t>Arterial Street Type</t>
  </si>
  <si>
    <t>No</t>
  </si>
  <si>
    <t>Yes</t>
  </si>
  <si>
    <t>If yes, what is the street type</t>
  </si>
  <si>
    <t>Estimated reliability benefit</t>
  </si>
  <si>
    <t>Added capacity, urban freeway</t>
  </si>
  <si>
    <t>Added capacity, urban principal arterial</t>
  </si>
  <si>
    <t>Added capacity, other urban street</t>
  </si>
  <si>
    <t>ITS Infrastructure</t>
  </si>
  <si>
    <t>Points</t>
  </si>
  <si>
    <t>2018 Planning Time Index</t>
  </si>
  <si>
    <t>Planning Time Index No Build</t>
  </si>
  <si>
    <t>Planning Time Index Build</t>
  </si>
  <si>
    <t>Estimated Planning Time Index Equation</t>
  </si>
  <si>
    <t>Urban Freeway</t>
  </si>
  <si>
    <t>Other Urban Street</t>
  </si>
  <si>
    <t>1.00822+0.00003696*(ADT Per Lane)</t>
  </si>
  <si>
    <t>1.18622+0.00003578*(ADT Per Lane)</t>
  </si>
  <si>
    <t>1.18825+0.00003508*(ADT Per Lane)</t>
  </si>
  <si>
    <t>Urban Principal Arterial</t>
  </si>
  <si>
    <t>Do you have a current PTI estimate?</t>
  </si>
  <si>
    <t>Involves access management?</t>
  </si>
  <si>
    <t>Calculated Reliability Benefit Based on Input Information</t>
  </si>
  <si>
    <t>Access management, urban principal arterial</t>
  </si>
  <si>
    <t>Access management, other urban street</t>
  </si>
  <si>
    <t>PTI estimate</t>
  </si>
  <si>
    <t>Involves grade separation?</t>
  </si>
  <si>
    <t>Does the project add capacity (lanes)?</t>
  </si>
  <si>
    <t>Involves installation of ITS infrastructure?</t>
  </si>
  <si>
    <t>Primary Project Type</t>
  </si>
  <si>
    <t>Source for PTI estimate (please provide reference link)</t>
  </si>
  <si>
    <t>https://policy.tti.tamu.edu/congestion/estimating-congestion-benefits-of-transportation-projects-with-fixit-2-0/</t>
  </si>
  <si>
    <t>Estimated Reliability Benefits for Project Types*</t>
  </si>
  <si>
    <r>
      <t>*</t>
    </r>
    <r>
      <rPr>
        <b/>
        <i/>
        <sz val="11"/>
        <color rgb="FF0070C0"/>
        <rFont val="Calibri"/>
        <family val="2"/>
        <scheme val="minor"/>
      </rPr>
      <t>Reference</t>
    </r>
    <r>
      <rPr>
        <i/>
        <sz val="11"/>
        <color theme="1"/>
        <rFont val="Calibri"/>
        <family val="2"/>
        <scheme val="minor"/>
      </rPr>
      <t>: Texas A&amp;M Transportation Institute, "Estimating Congestion Benefits of Transportation Projects with FIXiT 2.0: Updating and Improving the Sketch Planning Tool", Report no. PRC 17-82-F, November 2017</t>
    </r>
  </si>
  <si>
    <t>Facility V/C Ratio</t>
  </si>
  <si>
    <t>If yes, input a value (must be &gt;= 1.0)</t>
  </si>
  <si>
    <t>Input</t>
  </si>
  <si>
    <t>Cell reference</t>
  </si>
  <si>
    <t>Notes</t>
  </si>
  <si>
    <t>B10</t>
  </si>
  <si>
    <t>If the project involves increasing road capacity by providing more travel lanes, input “Yes”.</t>
  </si>
  <si>
    <t>B11</t>
  </si>
  <si>
    <t>Choose one of the four project categories used by H-GAC for evaluation. If the project fits more than one category, input the one that seems primary or most relevant. There are opportunities to include benefits from other applicable concurrent project implementations in the input fields that follow.</t>
  </si>
  <si>
    <t>B12</t>
  </si>
  <si>
    <t>Choose one of the three applicable facility (road) types.</t>
  </si>
  <si>
    <t>B13</t>
  </si>
  <si>
    <t>If the project involves any access management strategies, input “Yes”. Otherwise “No”.</t>
  </si>
  <si>
    <t>B14</t>
  </si>
  <si>
    <t>Input the street (facility) type on which the planned access management strategies would be implemented. Leave blank if not applicable.</t>
  </si>
  <si>
    <t>Note: This input should match input in cell B12.</t>
  </si>
  <si>
    <t>B15</t>
  </si>
  <si>
    <t>If the project involves any form of grade separation between intersecting facilities, input “Yes”. Otherwise “No”.</t>
  </si>
  <si>
    <t>B16</t>
  </si>
  <si>
    <t>If the project involves installation of any ITS technology infrastructure, input “Yes”. Otherwise “No”.</t>
  </si>
  <si>
    <t>B17</t>
  </si>
  <si>
    <t>If you have an estimate of the current Planning Time Index (PTI) on the project facility, input “Yes”. Otherwise “No”.</t>
  </si>
  <si>
    <t>If yes, input a value (must be greater than or equal to 1.0)</t>
  </si>
  <si>
    <t>B18</t>
  </si>
  <si>
    <t>If you have an estimate of the current Planning Time Index (PTI) on the project facility, please input the estimated value (up to 2 decimal places). If not, leave this entry blank.</t>
  </si>
  <si>
    <t>B19</t>
  </si>
  <si>
    <t>If you provided a PTI estimate, please provide a source or reference for the value (e.g., Texas DOT 100 most congested roads list)</t>
  </si>
  <si>
    <t>ADT (before implementation)</t>
  </si>
  <si>
    <t>I6</t>
  </si>
  <si>
    <t>Input current total Average Daily Traffic (ADT) volume (number of vehicles per day) on the project facility.</t>
  </si>
  <si>
    <t>ADT (after implementation)</t>
  </si>
  <si>
    <t>J6</t>
  </si>
  <si>
    <t>Input expected Average Daily Traffic (ADT) volume (vehicles per day) on the project facility after the project is implemented.</t>
  </si>
  <si>
    <t>Number of Lanes (before implementation)</t>
  </si>
  <si>
    <t>I7</t>
  </si>
  <si>
    <t>The current number of travel lanes on the facility under the scope of the project. Travel lanes represent continuous through lanes excluding any short stretches with special configurations like turn lanes at intersections. Two-way left turn lanes, if present throughout the project road length, should not be included.</t>
  </si>
  <si>
    <t>Number of Lanes (after implementation)</t>
  </si>
  <si>
    <t>J7</t>
  </si>
  <si>
    <t>Number of travel lanes on the facility after implementation of the project. Travel lanes represent continuous through lanes excluding any short stretches with special configurations like turn lanes at intersections. Two-way left turn lanes, if present throughout the project road length, should not be included.</t>
  </si>
  <si>
    <t>Inputs</t>
  </si>
  <si>
    <t>The following user inputs are needed on the “Inputs &amp; Outputs” tab of the template spreadsheet and are shaded in blue on this tab. These input fields are listed below in the general order that they would be filled in by the user.</t>
  </si>
  <si>
    <t>Instructions:</t>
  </si>
  <si>
    <t>Installation of ITS and Traffic Signal Integration SH 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</si>
</sst>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color theme="0"/>
      <name val="Calibri"/>
      <family val="2"/>
      <scheme val="minor"/>
    </font>
    <font>
      <b/>
      <i/>
      <sz val="11"/>
      <color rgb="FF0070C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5"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3" borderId="1" xfId="0" applyFill="1" applyBorder="1" applyAlignment="1"/>
    <xf numFmtId="165" fontId="0" fillId="3" borderId="1" xfId="0" applyNumberFormat="1" applyFill="1" applyBorder="1" applyProtection="1">
      <protection locked="0"/>
    </xf>
    <xf numFmtId="0" fontId="5" fillId="10"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167" fontId="0" fillId="11" borderId="3" xfId="0" applyNumberFormat="1" applyFill="1" applyBorder="1"/>
    <xf numFmtId="164" fontId="0" fillId="7" borderId="1" xfId="2" applyNumberFormat="1" applyFont="1" applyFill="1" applyBorder="1" applyAlignment="1">
      <alignment horizontal="center"/>
    </xf>
    <xf numFmtId="165" fontId="0" fillId="11" borderId="1" xfId="0" applyNumberFormat="1" applyFill="1" applyBorder="1"/>
    <xf numFmtId="164" fontId="0" fillId="7"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8" borderId="1" xfId="2" applyNumberFormat="1" applyFont="1" applyFill="1" applyBorder="1" applyAlignment="1" applyProtection="1">
      <alignment horizontal="center"/>
    </xf>
    <xf numFmtId="164" fontId="0" fillId="5" borderId="1" xfId="0" applyNumberFormat="1" applyFill="1" applyBorder="1"/>
    <xf numFmtId="2" fontId="0" fillId="5" borderId="1" xfId="0" applyNumberFormat="1" applyFill="1" applyBorder="1"/>
    <xf numFmtId="164" fontId="0" fillId="9" borderId="1" xfId="2" applyNumberFormat="1" applyFont="1" applyFill="1" applyBorder="1" applyAlignment="1">
      <alignment horizontal="center"/>
    </xf>
    <xf numFmtId="165" fontId="0" fillId="5" borderId="1" xfId="0" applyNumberFormat="1" applyFill="1" applyBorder="1"/>
    <xf numFmtId="166"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0" fontId="0" fillId="8" borderId="1" xfId="0" applyFont="1" applyFill="1" applyBorder="1" applyAlignment="1">
      <alignment horizontal="center"/>
    </xf>
    <xf numFmtId="0" fontId="8" fillId="0" borderId="4" xfId="0" applyFont="1" applyBorder="1"/>
    <xf numFmtId="0" fontId="0" fillId="0" borderId="4" xfId="0" applyBorder="1"/>
    <xf numFmtId="0" fontId="6" fillId="0" borderId="0" xfId="4" applyAlignment="1" applyProtection="1"/>
    <xf numFmtId="0" fontId="0" fillId="0" borderId="0" xfId="0" applyFill="1"/>
    <xf numFmtId="0" fontId="0" fillId="2" borderId="0" xfId="0" applyFill="1"/>
    <xf numFmtId="0" fontId="9" fillId="4" borderId="1" xfId="0" applyFont="1" applyFill="1" applyBorder="1"/>
    <xf numFmtId="9" fontId="0" fillId="0" borderId="0" xfId="3" applyFont="1"/>
    <xf numFmtId="0" fontId="0" fillId="2" borderId="0" xfId="0" applyFill="1" applyAlignment="1">
      <alignment vertical="top"/>
    </xf>
    <xf numFmtId="0" fontId="0" fillId="0" borderId="0" xfId="0" applyBorder="1"/>
    <xf numFmtId="9" fontId="0" fillId="2" borderId="0" xfId="3" applyFont="1" applyFill="1" applyAlignment="1">
      <alignment horizontal="center" vertical="center"/>
    </xf>
    <xf numFmtId="0" fontId="0" fillId="2" borderId="0" xfId="0" quotePrefix="1" applyFill="1"/>
    <xf numFmtId="43" fontId="0" fillId="2" borderId="0" xfId="1" applyFont="1" applyFill="1" applyAlignment="1">
      <alignment horizontal="center" vertical="center"/>
    </xf>
    <xf numFmtId="0" fontId="3" fillId="2" borderId="0" xfId="0" applyFont="1" applyFill="1"/>
    <xf numFmtId="0" fontId="0" fillId="0" borderId="0" xfId="0" applyFill="1" applyAlignment="1"/>
    <xf numFmtId="0" fontId="0" fillId="2" borderId="0" xfId="0" applyFill="1" applyAlignment="1">
      <alignment horizontal="center" vertical="center"/>
    </xf>
    <xf numFmtId="0" fontId="0" fillId="3" borderId="1" xfId="0" applyNumberFormat="1" applyFill="1" applyBorder="1" applyAlignment="1" applyProtection="1">
      <alignment horizontal="center" vertical="center"/>
      <protection locked="0"/>
    </xf>
    <xf numFmtId="0" fontId="4" fillId="0" borderId="0" xfId="0" applyFont="1"/>
    <xf numFmtId="2" fontId="0" fillId="0" borderId="0" xfId="0" applyNumberFormat="1"/>
    <xf numFmtId="2" fontId="2" fillId="10" borderId="1" xfId="0" applyNumberFormat="1" applyFont="1" applyFill="1" applyBorder="1" applyAlignment="1">
      <alignment horizontal="center"/>
    </xf>
    <xf numFmtId="2" fontId="0" fillId="8" borderId="1" xfId="0" applyNumberFormat="1" applyFont="1" applyFill="1" applyBorder="1" applyAlignment="1">
      <alignment horizontal="center"/>
    </xf>
    <xf numFmtId="0" fontId="9" fillId="13" borderId="8" xfId="0" applyFont="1" applyFill="1" applyBorder="1"/>
    <xf numFmtId="0" fontId="9" fillId="13" borderId="9" xfId="0" applyFont="1" applyFill="1" applyBorder="1"/>
    <xf numFmtId="0" fontId="9" fillId="13" borderId="10" xfId="0" applyFont="1" applyFill="1" applyBorder="1"/>
    <xf numFmtId="0" fontId="7" fillId="13" borderId="11" xfId="0" applyFont="1" applyFill="1" applyBorder="1" applyAlignment="1">
      <alignment vertical="center"/>
    </xf>
    <xf numFmtId="0" fontId="9" fillId="13" borderId="0" xfId="0" applyFont="1" applyFill="1" applyBorder="1"/>
    <xf numFmtId="0" fontId="9" fillId="13" borderId="7" xfId="0" applyFont="1" applyFill="1" applyBorder="1"/>
    <xf numFmtId="0" fontId="9" fillId="13" borderId="11" xfId="0" applyFont="1" applyFill="1" applyBorder="1"/>
    <xf numFmtId="0" fontId="9" fillId="0" borderId="0" xfId="0" applyFont="1" applyFill="1"/>
    <xf numFmtId="0" fontId="2" fillId="13" borderId="12" xfId="0" applyFont="1" applyFill="1" applyBorder="1" applyAlignment="1">
      <alignment horizontal="center" vertical="center" wrapText="1"/>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5" fillId="13" borderId="12" xfId="0" applyFont="1" applyFill="1" applyBorder="1" applyAlignment="1">
      <alignment vertical="center" wrapText="1"/>
    </xf>
    <xf numFmtId="0" fontId="0" fillId="0" borderId="0" xfId="0" applyFont="1" applyFill="1" applyBorder="1" applyAlignment="1">
      <alignment horizontal="center"/>
    </xf>
    <xf numFmtId="2" fontId="0" fillId="0" borderId="0" xfId="3" applyNumberFormat="1" applyFont="1" applyFill="1" applyBorder="1" applyAlignment="1">
      <alignment horizontal="center"/>
    </xf>
    <xf numFmtId="2" fontId="0" fillId="0" borderId="0" xfId="0" applyNumberFormat="1" applyFill="1" applyBorder="1" applyAlignment="1">
      <alignment horizontal="center" vertical="center"/>
    </xf>
    <xf numFmtId="0" fontId="2" fillId="10" borderId="1" xfId="0" applyFont="1" applyFill="1" applyBorder="1" applyAlignment="1">
      <alignment horizontal="center" wrapText="1"/>
    </xf>
    <xf numFmtId="2" fontId="0" fillId="2" borderId="1" xfId="0" applyNumberFormat="1" applyFill="1" applyBorder="1" applyAlignment="1">
      <alignment horizontal="center" vertical="center"/>
    </xf>
    <xf numFmtId="2" fontId="0" fillId="2" borderId="1" xfId="0" quotePrefix="1" applyNumberFormat="1" applyFill="1" applyBorder="1" applyAlignment="1">
      <alignment horizontal="center" vertical="center"/>
    </xf>
    <xf numFmtId="2" fontId="0" fillId="2" borderId="1" xfId="0" applyNumberFormat="1" applyFill="1" applyBorder="1" applyAlignment="1">
      <alignment horizontal="center" vertical="center" wrapText="1"/>
    </xf>
    <xf numFmtId="2" fontId="0" fillId="2" borderId="1" xfId="0" quotePrefix="1" applyNumberFormat="1" applyFill="1" applyBorder="1" applyAlignment="1">
      <alignment horizontal="center" vertical="center" wrapText="1"/>
    </xf>
    <xf numFmtId="0" fontId="0" fillId="0" borderId="13" xfId="0" applyBorder="1"/>
    <xf numFmtId="0" fontId="0" fillId="3" borderId="1" xfId="0"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43" fontId="0" fillId="5" borderId="2" xfId="1" applyFont="1" applyFill="1" applyBorder="1" applyAlignment="1" applyProtection="1">
      <alignment horizontal="right" vertical="center"/>
    </xf>
    <xf numFmtId="43" fontId="0" fillId="5" borderId="3" xfId="1" applyFont="1" applyFill="1" applyBorder="1" applyAlignment="1" applyProtection="1">
      <alignment horizontal="right" vertical="center"/>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4" borderId="5" xfId="0" applyFont="1" applyFill="1" applyBorder="1" applyAlignment="1">
      <alignment horizontal="left"/>
    </xf>
    <xf numFmtId="0" fontId="2" fillId="4" borderId="4" xfId="0" applyFont="1" applyFill="1" applyBorder="1" applyAlignment="1">
      <alignment horizontal="left"/>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0" borderId="6" xfId="0" applyBorder="1" applyAlignment="1">
      <alignment horizontal="left"/>
    </xf>
    <xf numFmtId="0" fontId="0" fillId="0" borderId="0" xfId="0"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254061"/>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xmlns=""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xmlns=""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policy.tti.tamu.edu/congestion/estimating-congestion-benefits-of-transportation-projects-with-fixi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M25"/>
  <sheetViews>
    <sheetView zoomScale="130" zoomScaleNormal="130" workbookViewId="0">
      <selection activeCell="F9" sqref="F9"/>
    </sheetView>
  </sheetViews>
  <sheetFormatPr defaultRowHeight="15" x14ac:dyDescent="0.25"/>
  <cols>
    <col min="1" max="1" width="8.28515625" customWidth="1"/>
    <col min="2" max="2" width="31.140625" customWidth="1"/>
    <col min="3" max="3" width="22.42578125" customWidth="1"/>
    <col min="4" max="4" width="48.28515625" customWidth="1"/>
    <col min="5" max="5" width="15.28515625" bestFit="1" customWidth="1"/>
    <col min="6" max="6" width="13.28515625" customWidth="1"/>
    <col min="7" max="7" width="4.5703125" customWidth="1"/>
  </cols>
  <sheetData>
    <row r="1" spans="1:13" ht="15.75" thickBot="1" x14ac:dyDescent="0.3"/>
    <row r="2" spans="1:13" x14ac:dyDescent="0.25">
      <c r="B2" s="59" t="s">
        <v>141</v>
      </c>
      <c r="C2" s="60"/>
      <c r="D2" s="61"/>
    </row>
    <row r="3" spans="1:13" x14ac:dyDescent="0.25">
      <c r="B3" s="62" t="s">
        <v>139</v>
      </c>
      <c r="C3" s="63"/>
      <c r="D3" s="64"/>
    </row>
    <row r="4" spans="1:13" x14ac:dyDescent="0.25">
      <c r="B4" s="87" t="s">
        <v>140</v>
      </c>
      <c r="C4" s="88"/>
      <c r="D4" s="89"/>
    </row>
    <row r="5" spans="1:13" x14ac:dyDescent="0.25">
      <c r="B5" s="87"/>
      <c r="C5" s="88"/>
      <c r="D5" s="89"/>
    </row>
    <row r="6" spans="1:13" x14ac:dyDescent="0.25">
      <c r="B6" s="65"/>
      <c r="C6" s="63"/>
      <c r="D6" s="64"/>
    </row>
    <row r="7" spans="1:13" x14ac:dyDescent="0.25">
      <c r="B7" s="67" t="s">
        <v>102</v>
      </c>
      <c r="C7" s="67" t="s">
        <v>103</v>
      </c>
      <c r="D7" s="67" t="s">
        <v>104</v>
      </c>
    </row>
    <row r="8" spans="1:13" ht="30" x14ac:dyDescent="0.25">
      <c r="A8" s="22"/>
      <c r="B8" s="68" t="s">
        <v>93</v>
      </c>
      <c r="C8" s="69" t="s">
        <v>105</v>
      </c>
      <c r="D8" s="68" t="s">
        <v>106</v>
      </c>
    </row>
    <row r="9" spans="1:13" ht="90" x14ac:dyDescent="0.25">
      <c r="B9" s="68" t="s">
        <v>95</v>
      </c>
      <c r="C9" s="69" t="s">
        <v>107</v>
      </c>
      <c r="D9" s="68" t="s">
        <v>108</v>
      </c>
      <c r="F9" s="47"/>
    </row>
    <row r="10" spans="1:13" ht="30" x14ac:dyDescent="0.25">
      <c r="B10" s="68" t="s">
        <v>58</v>
      </c>
      <c r="C10" s="69" t="s">
        <v>109</v>
      </c>
      <c r="D10" s="68" t="s">
        <v>110</v>
      </c>
    </row>
    <row r="11" spans="1:13" ht="30" x14ac:dyDescent="0.25">
      <c r="B11" s="68" t="s">
        <v>87</v>
      </c>
      <c r="C11" s="69" t="s">
        <v>111</v>
      </c>
      <c r="D11" s="68" t="s">
        <v>112</v>
      </c>
      <c r="M11" s="42"/>
    </row>
    <row r="12" spans="1:13" ht="45" x14ac:dyDescent="0.25">
      <c r="B12" s="85" t="s">
        <v>69</v>
      </c>
      <c r="C12" s="86" t="s">
        <v>113</v>
      </c>
      <c r="D12" s="68" t="s">
        <v>114</v>
      </c>
    </row>
    <row r="13" spans="1:13" x14ac:dyDescent="0.25">
      <c r="B13" s="85"/>
      <c r="C13" s="86"/>
      <c r="D13" s="70" t="s">
        <v>115</v>
      </c>
    </row>
    <row r="14" spans="1:13" ht="45" x14ac:dyDescent="0.25">
      <c r="B14" s="68" t="s">
        <v>92</v>
      </c>
      <c r="C14" s="69" t="s">
        <v>116</v>
      </c>
      <c r="D14" s="68" t="s">
        <v>117</v>
      </c>
    </row>
    <row r="15" spans="1:13" ht="45" x14ac:dyDescent="0.25">
      <c r="B15" s="68" t="s">
        <v>94</v>
      </c>
      <c r="C15" s="69" t="s">
        <v>118</v>
      </c>
      <c r="D15" s="68" t="s">
        <v>119</v>
      </c>
    </row>
    <row r="16" spans="1:13" ht="45" x14ac:dyDescent="0.25">
      <c r="B16" s="68" t="s">
        <v>86</v>
      </c>
      <c r="C16" s="69" t="s">
        <v>120</v>
      </c>
      <c r="D16" s="68" t="s">
        <v>121</v>
      </c>
    </row>
    <row r="17" spans="2:4" ht="60" x14ac:dyDescent="0.25">
      <c r="B17" s="68" t="s">
        <v>122</v>
      </c>
      <c r="C17" s="69" t="s">
        <v>123</v>
      </c>
      <c r="D17" s="68" t="s">
        <v>124</v>
      </c>
    </row>
    <row r="18" spans="2:4" ht="45" x14ac:dyDescent="0.25">
      <c r="B18" s="68" t="s">
        <v>96</v>
      </c>
      <c r="C18" s="69" t="s">
        <v>125</v>
      </c>
      <c r="D18" s="68" t="s">
        <v>126</v>
      </c>
    </row>
    <row r="19" spans="2:4" ht="45" x14ac:dyDescent="0.25">
      <c r="B19" s="68" t="s">
        <v>127</v>
      </c>
      <c r="C19" s="69" t="s">
        <v>128</v>
      </c>
      <c r="D19" s="68" t="s">
        <v>129</v>
      </c>
    </row>
    <row r="20" spans="2:4" ht="45" x14ac:dyDescent="0.25">
      <c r="B20" s="68" t="s">
        <v>130</v>
      </c>
      <c r="C20" s="69" t="s">
        <v>131</v>
      </c>
      <c r="D20" s="68" t="s">
        <v>132</v>
      </c>
    </row>
    <row r="21" spans="2:4" ht="105" x14ac:dyDescent="0.25">
      <c r="B21" s="68" t="s">
        <v>133</v>
      </c>
      <c r="C21" s="69" t="s">
        <v>134</v>
      </c>
      <c r="D21" s="68" t="s">
        <v>135</v>
      </c>
    </row>
    <row r="22" spans="2:4" ht="105" x14ac:dyDescent="0.25">
      <c r="B22" s="68" t="s">
        <v>136</v>
      </c>
      <c r="C22" s="69" t="s">
        <v>137</v>
      </c>
      <c r="D22" s="68" t="s">
        <v>138</v>
      </c>
    </row>
    <row r="23" spans="2:4" x14ac:dyDescent="0.25">
      <c r="B23" s="66"/>
      <c r="C23" s="66"/>
      <c r="D23" s="66"/>
    </row>
    <row r="24" spans="2:4" x14ac:dyDescent="0.25">
      <c r="B24" s="66"/>
      <c r="C24" s="66"/>
      <c r="D24" s="66"/>
    </row>
    <row r="25" spans="2:4" x14ac:dyDescent="0.25">
      <c r="D25" s="79"/>
    </row>
  </sheetData>
  <mergeCells count="3">
    <mergeCell ref="B12:B13"/>
    <mergeCell ref="C12:C13"/>
    <mergeCell ref="B4:D5"/>
  </mergeCells>
  <pageMargins left="0.25" right="0.25" top="0.75" bottom="0.75" header="0.3" footer="0.3"/>
  <pageSetup paperSize="1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4" t="s">
        <v>0</v>
      </c>
      <c r="D3" s="4" t="s">
        <v>19</v>
      </c>
      <c r="E3" s="5" t="s">
        <v>10</v>
      </c>
      <c r="G3" s="11" t="s">
        <v>14</v>
      </c>
      <c r="H3" s="11"/>
      <c r="I3" s="11" t="s">
        <v>20</v>
      </c>
      <c r="J3" s="11" t="s">
        <v>40</v>
      </c>
    </row>
    <row r="4" spans="1:10" x14ac:dyDescent="0.25">
      <c r="A4" s="2" t="s">
        <v>5</v>
      </c>
      <c r="B4" s="3"/>
      <c r="D4" s="2" t="s">
        <v>37</v>
      </c>
      <c r="E4" s="37">
        <v>2015</v>
      </c>
      <c r="G4" s="9">
        <f>E4</f>
        <v>2015</v>
      </c>
      <c r="H4" s="9">
        <f>IF(G4&lt;2041,1,0)</f>
        <v>1</v>
      </c>
      <c r="I4" s="18">
        <f>IF($G4&lt;($G$4+$E$5),$E$17,0)*H4</f>
        <v>0</v>
      </c>
      <c r="J4" s="26" t="e">
        <f>I4*$B$18*$B$19/10^3</f>
        <v>#REF!</v>
      </c>
    </row>
    <row r="5" spans="1:10" x14ac:dyDescent="0.25">
      <c r="A5" s="2" t="s">
        <v>6</v>
      </c>
      <c r="B5" s="3"/>
      <c r="D5" s="2" t="s">
        <v>27</v>
      </c>
      <c r="E5" s="6">
        <v>10</v>
      </c>
      <c r="G5" s="10">
        <f t="shared" ref="G5:G29" si="0">G4+1</f>
        <v>2016</v>
      </c>
      <c r="H5" s="10">
        <f t="shared" ref="H5:H29" si="1">IF(G5&lt;2041,1,0)</f>
        <v>1</v>
      </c>
      <c r="I5" s="18">
        <f t="shared" ref="I5:I29" si="2">IF($G5&lt;($G$4+$E$5),$E$17,0)*H5</f>
        <v>0</v>
      </c>
      <c r="J5" s="33" t="e">
        <f t="shared" ref="J5:J24" si="3">I5*$B$18*$B$19/10^3</f>
        <v>#REF!</v>
      </c>
    </row>
    <row r="6" spans="1:10" x14ac:dyDescent="0.25">
      <c r="A6" s="2" t="s">
        <v>7</v>
      </c>
      <c r="B6" s="3">
        <v>1</v>
      </c>
      <c r="D6" s="90" t="s">
        <v>25</v>
      </c>
      <c r="E6" s="91"/>
      <c r="G6" s="9">
        <f t="shared" si="0"/>
        <v>2017</v>
      </c>
      <c r="H6" s="9">
        <f t="shared" si="1"/>
        <v>1</v>
      </c>
      <c r="I6" s="18">
        <f t="shared" si="2"/>
        <v>0</v>
      </c>
      <c r="J6" s="26" t="e">
        <f t="shared" si="3"/>
        <v>#REF!</v>
      </c>
    </row>
    <row r="7" spans="1:10" x14ac:dyDescent="0.25">
      <c r="A7" s="2" t="s">
        <v>38</v>
      </c>
      <c r="B7" s="20"/>
      <c r="D7" s="2" t="s">
        <v>35</v>
      </c>
      <c r="E7" s="6"/>
      <c r="G7" s="10">
        <f t="shared" si="0"/>
        <v>2018</v>
      </c>
      <c r="H7" s="10">
        <f t="shared" si="1"/>
        <v>1</v>
      </c>
      <c r="I7" s="18">
        <f t="shared" si="2"/>
        <v>0</v>
      </c>
      <c r="J7" s="33" t="e">
        <f t="shared" si="3"/>
        <v>#REF!</v>
      </c>
    </row>
    <row r="8" spans="1:10" x14ac:dyDescent="0.25">
      <c r="A8" s="19" t="s">
        <v>39</v>
      </c>
      <c r="B8" s="20"/>
      <c r="D8" s="2" t="s">
        <v>33</v>
      </c>
      <c r="E8" s="36">
        <v>1.1499999999999999</v>
      </c>
      <c r="G8" s="9">
        <f t="shared" si="0"/>
        <v>2019</v>
      </c>
      <c r="H8" s="9">
        <f t="shared" si="1"/>
        <v>1</v>
      </c>
      <c r="I8" s="18">
        <f t="shared" si="2"/>
        <v>0</v>
      </c>
      <c r="J8" s="26" t="e">
        <f t="shared" si="3"/>
        <v>#REF!</v>
      </c>
    </row>
    <row r="9" spans="1:10" x14ac:dyDescent="0.25">
      <c r="G9" s="10">
        <f t="shared" si="0"/>
        <v>2020</v>
      </c>
      <c r="H9" s="10">
        <f t="shared" si="1"/>
        <v>1</v>
      </c>
      <c r="I9" s="18">
        <f t="shared" si="2"/>
        <v>0</v>
      </c>
      <c r="J9" s="33" t="e">
        <f t="shared" si="3"/>
        <v>#REF!</v>
      </c>
    </row>
    <row r="10" spans="1:10" x14ac:dyDescent="0.25">
      <c r="A10" s="8" t="s">
        <v>18</v>
      </c>
      <c r="G10" s="9">
        <f t="shared" si="0"/>
        <v>2021</v>
      </c>
      <c r="H10" s="9">
        <f t="shared" si="1"/>
        <v>1</v>
      </c>
      <c r="I10" s="18">
        <f t="shared" si="2"/>
        <v>0</v>
      </c>
      <c r="J10" s="26" t="e">
        <f t="shared" si="3"/>
        <v>#REF!</v>
      </c>
    </row>
    <row r="11" spans="1:10" x14ac:dyDescent="0.25">
      <c r="A11" s="7" t="s">
        <v>36</v>
      </c>
      <c r="B11" s="34" t="e">
        <f>NPV($B$17,J4:J29)/(1+$B$17)^(E4-B16+1)</f>
        <v>#REF!</v>
      </c>
      <c r="G11" s="10">
        <f t="shared" si="0"/>
        <v>2022</v>
      </c>
      <c r="H11" s="10">
        <f t="shared" si="1"/>
        <v>1</v>
      </c>
      <c r="I11" s="18">
        <f t="shared" si="2"/>
        <v>0</v>
      </c>
      <c r="J11" s="33" t="e">
        <f t="shared" si="3"/>
        <v>#REF!</v>
      </c>
    </row>
    <row r="12" spans="1:10" x14ac:dyDescent="0.25">
      <c r="A12" s="7" t="s">
        <v>17</v>
      </c>
      <c r="B12" s="32" t="e">
        <f>B11/B7</f>
        <v>#REF!</v>
      </c>
      <c r="G12" s="9">
        <f t="shared" si="0"/>
        <v>2023</v>
      </c>
      <c r="H12" s="9">
        <f t="shared" si="1"/>
        <v>1</v>
      </c>
      <c r="I12" s="18">
        <f t="shared" si="2"/>
        <v>0</v>
      </c>
      <c r="J12" s="26" t="e">
        <f t="shared" si="3"/>
        <v>#REF!</v>
      </c>
    </row>
    <row r="13" spans="1:10" x14ac:dyDescent="0.25">
      <c r="G13" s="10">
        <f t="shared" si="0"/>
        <v>2024</v>
      </c>
      <c r="H13" s="10">
        <f t="shared" si="1"/>
        <v>1</v>
      </c>
      <c r="I13" s="18">
        <f t="shared" si="2"/>
        <v>0</v>
      </c>
      <c r="J13" s="33" t="e">
        <f t="shared" si="3"/>
        <v>#REF!</v>
      </c>
    </row>
    <row r="14" spans="1:10" x14ac:dyDescent="0.25">
      <c r="G14" s="9">
        <f>G13+1</f>
        <v>2025</v>
      </c>
      <c r="H14" s="9">
        <f t="shared" si="1"/>
        <v>1</v>
      </c>
      <c r="I14" s="18">
        <f t="shared" si="2"/>
        <v>0</v>
      </c>
      <c r="J14" s="26" t="e">
        <f t="shared" si="3"/>
        <v>#REF!</v>
      </c>
    </row>
    <row r="15" spans="1:10" x14ac:dyDescent="0.25">
      <c r="A15" s="12" t="s">
        <v>1</v>
      </c>
      <c r="G15" s="10">
        <f t="shared" si="0"/>
        <v>2026</v>
      </c>
      <c r="H15" s="10">
        <f t="shared" si="1"/>
        <v>1</v>
      </c>
      <c r="I15" s="18">
        <f t="shared" si="2"/>
        <v>0</v>
      </c>
      <c r="J15" s="33" t="e">
        <f t="shared" si="3"/>
        <v>#REF!</v>
      </c>
    </row>
    <row r="16" spans="1:10" x14ac:dyDescent="0.25">
      <c r="A16" s="13" t="s">
        <v>2</v>
      </c>
      <c r="B16" s="23" t="e">
        <f>#REF!</f>
        <v>#REF!</v>
      </c>
      <c r="D16" s="12" t="s">
        <v>15</v>
      </c>
      <c r="E16" s="21" t="s">
        <v>10</v>
      </c>
      <c r="G16" s="9">
        <f t="shared" si="0"/>
        <v>2027</v>
      </c>
      <c r="H16" s="9">
        <f t="shared" si="1"/>
        <v>1</v>
      </c>
      <c r="I16" s="18">
        <f t="shared" si="2"/>
        <v>0</v>
      </c>
      <c r="J16" s="26" t="e">
        <f t="shared" si="3"/>
        <v>#REF!</v>
      </c>
    </row>
    <row r="17" spans="1:10" x14ac:dyDescent="0.25">
      <c r="A17" s="13" t="s">
        <v>3</v>
      </c>
      <c r="B17" s="14" t="e">
        <f>#REF!</f>
        <v>#REF!</v>
      </c>
      <c r="D17" s="16" t="s">
        <v>34</v>
      </c>
      <c r="E17" s="17">
        <f>E7/E8</f>
        <v>0</v>
      </c>
      <c r="G17" s="10">
        <f t="shared" si="0"/>
        <v>2028</v>
      </c>
      <c r="H17" s="10">
        <f t="shared" si="1"/>
        <v>1</v>
      </c>
      <c r="I17" s="18">
        <f t="shared" si="2"/>
        <v>0</v>
      </c>
      <c r="J17" s="33" t="e">
        <f t="shared" si="3"/>
        <v>#REF!</v>
      </c>
    </row>
    <row r="18" spans="1:10" x14ac:dyDescent="0.25">
      <c r="A18" s="13" t="s">
        <v>4</v>
      </c>
      <c r="B18" s="13">
        <f>IF(B6=2,2.1, 1.1)</f>
        <v>1.1000000000000001</v>
      </c>
      <c r="G18" s="9">
        <f t="shared" si="0"/>
        <v>2029</v>
      </c>
      <c r="H18" s="9">
        <f t="shared" si="1"/>
        <v>1</v>
      </c>
      <c r="I18" s="18">
        <f t="shared" si="2"/>
        <v>0</v>
      </c>
      <c r="J18" s="26" t="e">
        <f t="shared" si="3"/>
        <v>#REF!</v>
      </c>
    </row>
    <row r="19" spans="1:10" x14ac:dyDescent="0.25">
      <c r="A19" s="13" t="s">
        <v>8</v>
      </c>
      <c r="B19" s="15" t="e">
        <f>#REF!</f>
        <v>#REF!</v>
      </c>
      <c r="G19" s="10">
        <f t="shared" si="0"/>
        <v>2030</v>
      </c>
      <c r="H19" s="10">
        <f t="shared" si="1"/>
        <v>1</v>
      </c>
      <c r="I19" s="18">
        <f t="shared" si="2"/>
        <v>0</v>
      </c>
      <c r="J19" s="33" t="e">
        <f t="shared" si="3"/>
        <v>#REF!</v>
      </c>
    </row>
    <row r="20" spans="1:10" x14ac:dyDescent="0.25">
      <c r="A20" s="13" t="s">
        <v>16</v>
      </c>
      <c r="B20" s="13">
        <v>260</v>
      </c>
      <c r="G20" s="9">
        <f t="shared" si="0"/>
        <v>2031</v>
      </c>
      <c r="H20" s="9">
        <f t="shared" si="1"/>
        <v>1</v>
      </c>
      <c r="I20" s="18">
        <f t="shared" si="2"/>
        <v>0</v>
      </c>
      <c r="J20" s="26" t="e">
        <f t="shared" si="3"/>
        <v>#REF!</v>
      </c>
    </row>
    <row r="21" spans="1:10" x14ac:dyDescent="0.25">
      <c r="G21" s="10">
        <f t="shared" si="0"/>
        <v>2032</v>
      </c>
      <c r="H21" s="10">
        <f t="shared" si="1"/>
        <v>1</v>
      </c>
      <c r="I21" s="18">
        <f t="shared" si="2"/>
        <v>0</v>
      </c>
      <c r="J21" s="33" t="e">
        <f t="shared" si="3"/>
        <v>#REF!</v>
      </c>
    </row>
    <row r="22" spans="1:10" x14ac:dyDescent="0.25">
      <c r="G22" s="9">
        <f t="shared" si="0"/>
        <v>2033</v>
      </c>
      <c r="H22" s="9">
        <f t="shared" si="1"/>
        <v>1</v>
      </c>
      <c r="I22" s="18">
        <f t="shared" si="2"/>
        <v>0</v>
      </c>
      <c r="J22" s="26" t="e">
        <f t="shared" si="3"/>
        <v>#REF!</v>
      </c>
    </row>
    <row r="23" spans="1:10" x14ac:dyDescent="0.25">
      <c r="G23" s="10">
        <f t="shared" si="0"/>
        <v>2034</v>
      </c>
      <c r="H23" s="10">
        <f t="shared" si="1"/>
        <v>1</v>
      </c>
      <c r="I23" s="18">
        <f t="shared" si="2"/>
        <v>0</v>
      </c>
      <c r="J23" s="33" t="e">
        <f t="shared" si="3"/>
        <v>#REF!</v>
      </c>
    </row>
    <row r="24" spans="1:10" x14ac:dyDescent="0.25">
      <c r="G24" s="9">
        <f t="shared" si="0"/>
        <v>2035</v>
      </c>
      <c r="H24" s="9">
        <f t="shared" si="1"/>
        <v>1</v>
      </c>
      <c r="I24" s="18">
        <f t="shared" si="2"/>
        <v>0</v>
      </c>
      <c r="J24" s="26" t="e">
        <f t="shared" si="3"/>
        <v>#REF!</v>
      </c>
    </row>
    <row r="25" spans="1:10" x14ac:dyDescent="0.25">
      <c r="G25" s="10">
        <f t="shared" si="0"/>
        <v>2036</v>
      </c>
      <c r="H25" s="10">
        <f t="shared" si="1"/>
        <v>1</v>
      </c>
      <c r="I25" s="18">
        <f t="shared" si="2"/>
        <v>0</v>
      </c>
      <c r="J25" s="33" t="e">
        <f t="shared" ref="J25:J29" si="4">I25*$B$18*$B$19/10^3</f>
        <v>#REF!</v>
      </c>
    </row>
    <row r="26" spans="1:10" x14ac:dyDescent="0.25">
      <c r="G26" s="9">
        <f t="shared" si="0"/>
        <v>2037</v>
      </c>
      <c r="H26" s="9">
        <f t="shared" si="1"/>
        <v>1</v>
      </c>
      <c r="I26" s="18">
        <f t="shared" si="2"/>
        <v>0</v>
      </c>
      <c r="J26" s="26" t="e">
        <f t="shared" si="4"/>
        <v>#REF!</v>
      </c>
    </row>
    <row r="27" spans="1:10" x14ac:dyDescent="0.25">
      <c r="G27" s="10">
        <f t="shared" si="0"/>
        <v>2038</v>
      </c>
      <c r="H27" s="10">
        <f t="shared" si="1"/>
        <v>1</v>
      </c>
      <c r="I27" s="18">
        <f t="shared" si="2"/>
        <v>0</v>
      </c>
      <c r="J27" s="33" t="e">
        <f t="shared" si="4"/>
        <v>#REF!</v>
      </c>
    </row>
    <row r="28" spans="1:10" x14ac:dyDescent="0.25">
      <c r="G28" s="9">
        <f t="shared" si="0"/>
        <v>2039</v>
      </c>
      <c r="H28" s="9">
        <f t="shared" si="1"/>
        <v>1</v>
      </c>
      <c r="I28" s="18">
        <f t="shared" si="2"/>
        <v>0</v>
      </c>
      <c r="J28" s="26" t="e">
        <f t="shared" si="4"/>
        <v>#REF!</v>
      </c>
    </row>
    <row r="29" spans="1:10" x14ac:dyDescent="0.25">
      <c r="A29" s="22"/>
      <c r="G29" s="10">
        <f t="shared" si="0"/>
        <v>2040</v>
      </c>
      <c r="H29" s="10">
        <f t="shared" si="1"/>
        <v>1</v>
      </c>
      <c r="I29" s="18">
        <f t="shared" si="2"/>
        <v>0</v>
      </c>
      <c r="J29" s="33" t="e">
        <f t="shared" si="4"/>
        <v>#REF!</v>
      </c>
    </row>
    <row r="51" spans="1:1" x14ac:dyDescent="0.25">
      <c r="A51" t="s">
        <v>11</v>
      </c>
    </row>
    <row r="52" spans="1:1" x14ac:dyDescent="0.25">
      <c r="A52" s="1" t="s">
        <v>13</v>
      </c>
    </row>
    <row r="53" spans="1:1" x14ac:dyDescent="0.25">
      <c r="A53" s="1" t="s">
        <v>12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4" t="s">
        <v>0</v>
      </c>
      <c r="D3" s="4" t="s">
        <v>23</v>
      </c>
      <c r="E3" s="5" t="s">
        <v>10</v>
      </c>
      <c r="G3" s="11" t="s">
        <v>14</v>
      </c>
      <c r="H3" s="11" t="s">
        <v>32</v>
      </c>
      <c r="I3" s="11" t="s">
        <v>41</v>
      </c>
      <c r="J3" s="11" t="s">
        <v>31</v>
      </c>
      <c r="K3" s="11" t="s">
        <v>42</v>
      </c>
    </row>
    <row r="4" spans="1:11" x14ac:dyDescent="0.25">
      <c r="A4" s="2" t="s">
        <v>5</v>
      </c>
      <c r="B4" s="3"/>
      <c r="D4" s="2" t="s">
        <v>37</v>
      </c>
      <c r="E4" s="37">
        <v>2015</v>
      </c>
      <c r="G4" s="9">
        <f>E4</f>
        <v>2015</v>
      </c>
      <c r="H4" s="29" t="e">
        <f t="shared" ref="H4:H24" si="0">IF($G4&lt;($G$4+$E$5),$E$17,0)</f>
        <v>#REF!</v>
      </c>
      <c r="I4" s="28" t="e">
        <f>H4*$B$20/10^3</f>
        <v>#REF!</v>
      </c>
      <c r="J4" s="29" t="e">
        <f t="shared" ref="J4:J24" si="1">IF($G4&lt;($G$4+$E$5),$E$18,0)</f>
        <v>#REF!</v>
      </c>
      <c r="K4" s="28" t="e">
        <f>J4*$B$21/10^3</f>
        <v>#REF!</v>
      </c>
    </row>
    <row r="5" spans="1:11" x14ac:dyDescent="0.25">
      <c r="A5" s="2" t="s">
        <v>6</v>
      </c>
      <c r="B5" s="3"/>
      <c r="D5" s="2" t="s">
        <v>27</v>
      </c>
      <c r="E5" s="6">
        <v>10</v>
      </c>
      <c r="G5" s="10">
        <f t="shared" ref="G5:G29" si="2">G4+1</f>
        <v>2016</v>
      </c>
      <c r="H5" s="29" t="e">
        <f t="shared" si="0"/>
        <v>#REF!</v>
      </c>
      <c r="I5" s="30" t="e">
        <f t="shared" ref="I5:I24" si="3">H5*$B$20/10^3</f>
        <v>#REF!</v>
      </c>
      <c r="J5" s="29" t="e">
        <f t="shared" si="1"/>
        <v>#REF!</v>
      </c>
      <c r="K5" s="30" t="e">
        <f t="shared" ref="K5:K24" si="4">J5*$B$21/10^3</f>
        <v>#REF!</v>
      </c>
    </row>
    <row r="6" spans="1:11" x14ac:dyDescent="0.25">
      <c r="A6" s="2" t="s">
        <v>28</v>
      </c>
      <c r="B6" s="3">
        <v>2</v>
      </c>
      <c r="D6" s="90" t="s">
        <v>25</v>
      </c>
      <c r="E6" s="91"/>
      <c r="G6" s="9">
        <f t="shared" si="2"/>
        <v>2017</v>
      </c>
      <c r="H6" s="29" t="e">
        <f t="shared" si="0"/>
        <v>#REF!</v>
      </c>
      <c r="I6" s="28" t="e">
        <f t="shared" si="3"/>
        <v>#REF!</v>
      </c>
      <c r="J6" s="29" t="e">
        <f t="shared" si="1"/>
        <v>#REF!</v>
      </c>
      <c r="K6" s="28" t="e">
        <f t="shared" si="4"/>
        <v>#REF!</v>
      </c>
    </row>
    <row r="7" spans="1:11" x14ac:dyDescent="0.25">
      <c r="A7" s="2" t="s">
        <v>38</v>
      </c>
      <c r="B7" s="20"/>
      <c r="D7" s="2" t="s">
        <v>24</v>
      </c>
      <c r="E7" s="6"/>
      <c r="G7" s="10">
        <f t="shared" si="2"/>
        <v>2018</v>
      </c>
      <c r="H7" s="29" t="e">
        <f t="shared" si="0"/>
        <v>#REF!</v>
      </c>
      <c r="I7" s="30" t="e">
        <f t="shared" si="3"/>
        <v>#REF!</v>
      </c>
      <c r="J7" s="29" t="e">
        <f t="shared" si="1"/>
        <v>#REF!</v>
      </c>
      <c r="K7" s="30" t="e">
        <f t="shared" si="4"/>
        <v>#REF!</v>
      </c>
    </row>
    <row r="8" spans="1:11" x14ac:dyDescent="0.25">
      <c r="A8" s="19" t="s">
        <v>39</v>
      </c>
      <c r="B8" s="20"/>
      <c r="D8" s="90" t="s">
        <v>26</v>
      </c>
      <c r="E8" s="91"/>
      <c r="G8" s="9">
        <f t="shared" si="2"/>
        <v>2019</v>
      </c>
      <c r="H8" s="29" t="e">
        <f t="shared" si="0"/>
        <v>#REF!</v>
      </c>
      <c r="I8" s="28" t="e">
        <f t="shared" si="3"/>
        <v>#REF!</v>
      </c>
      <c r="J8" s="29" t="e">
        <f t="shared" si="1"/>
        <v>#REF!</v>
      </c>
      <c r="K8" s="28" t="e">
        <f t="shared" si="4"/>
        <v>#REF!</v>
      </c>
    </row>
    <row r="9" spans="1:11" x14ac:dyDescent="0.25">
      <c r="D9" s="2" t="s">
        <v>29</v>
      </c>
      <c r="E9" s="6"/>
      <c r="G9" s="10">
        <f t="shared" si="2"/>
        <v>2020</v>
      </c>
      <c r="H9" s="29" t="e">
        <f t="shared" si="0"/>
        <v>#REF!</v>
      </c>
      <c r="I9" s="30" t="e">
        <f t="shared" si="3"/>
        <v>#REF!</v>
      </c>
      <c r="J9" s="29" t="e">
        <f t="shared" si="1"/>
        <v>#REF!</v>
      </c>
      <c r="K9" s="30" t="e">
        <f t="shared" si="4"/>
        <v>#REF!</v>
      </c>
    </row>
    <row r="10" spans="1:11" x14ac:dyDescent="0.25">
      <c r="A10" s="8" t="s">
        <v>18</v>
      </c>
      <c r="D10" s="2" t="s">
        <v>30</v>
      </c>
      <c r="E10" s="6"/>
      <c r="G10" s="9">
        <f t="shared" si="2"/>
        <v>2021</v>
      </c>
      <c r="H10" s="29" t="e">
        <f t="shared" si="0"/>
        <v>#REF!</v>
      </c>
      <c r="I10" s="28" t="e">
        <f t="shared" si="3"/>
        <v>#REF!</v>
      </c>
      <c r="J10" s="29" t="e">
        <f t="shared" si="1"/>
        <v>#REF!</v>
      </c>
      <c r="K10" s="28" t="e">
        <f t="shared" si="4"/>
        <v>#REF!</v>
      </c>
    </row>
    <row r="11" spans="1:11" x14ac:dyDescent="0.25">
      <c r="A11" s="7" t="s">
        <v>43</v>
      </c>
      <c r="B11" s="31" t="e">
        <f>(NPV($B$17,K4:K24)+NPV($B$17,I4:I24))/(1+$B$17)^2</f>
        <v>#REF!</v>
      </c>
      <c r="G11" s="10">
        <f t="shared" si="2"/>
        <v>2022</v>
      </c>
      <c r="H11" s="29" t="e">
        <f t="shared" si="0"/>
        <v>#REF!</v>
      </c>
      <c r="I11" s="30" t="e">
        <f t="shared" si="3"/>
        <v>#REF!</v>
      </c>
      <c r="J11" s="29" t="e">
        <f t="shared" si="1"/>
        <v>#REF!</v>
      </c>
      <c r="K11" s="30" t="e">
        <f t="shared" si="4"/>
        <v>#REF!</v>
      </c>
    </row>
    <row r="12" spans="1:11" x14ac:dyDescent="0.25">
      <c r="A12" s="7" t="s">
        <v>17</v>
      </c>
      <c r="B12" s="32" t="e">
        <f>B11/B7</f>
        <v>#REF!</v>
      </c>
      <c r="G12" s="9">
        <f t="shared" si="2"/>
        <v>2023</v>
      </c>
      <c r="H12" s="29" t="e">
        <f t="shared" si="0"/>
        <v>#REF!</v>
      </c>
      <c r="I12" s="28" t="e">
        <f t="shared" si="3"/>
        <v>#REF!</v>
      </c>
      <c r="J12" s="29" t="e">
        <f t="shared" si="1"/>
        <v>#REF!</v>
      </c>
      <c r="K12" s="28" t="e">
        <f t="shared" si="4"/>
        <v>#REF!</v>
      </c>
    </row>
    <row r="13" spans="1:11" x14ac:dyDescent="0.25">
      <c r="A13" s="7" t="s">
        <v>44</v>
      </c>
      <c r="B13" s="31" t="e">
        <f>B7*(B17/(1-(1+B17)^(-E5))/(SUM(H4:H29)+SUM(J4:J29)))</f>
        <v>#REF!</v>
      </c>
      <c r="G13" s="10">
        <f t="shared" si="2"/>
        <v>2024</v>
      </c>
      <c r="H13" s="29" t="e">
        <f t="shared" si="0"/>
        <v>#REF!</v>
      </c>
      <c r="I13" s="30" t="e">
        <f t="shared" si="3"/>
        <v>#REF!</v>
      </c>
      <c r="J13" s="29" t="e">
        <f t="shared" si="1"/>
        <v>#REF!</v>
      </c>
      <c r="K13" s="30" t="e">
        <f t="shared" si="4"/>
        <v>#REF!</v>
      </c>
    </row>
    <row r="14" spans="1:11" x14ac:dyDescent="0.25">
      <c r="G14" s="9">
        <f>G13+1</f>
        <v>2025</v>
      </c>
      <c r="H14" s="29">
        <f t="shared" si="0"/>
        <v>0</v>
      </c>
      <c r="I14" s="28" t="e">
        <f t="shared" si="3"/>
        <v>#REF!</v>
      </c>
      <c r="J14" s="29">
        <f t="shared" si="1"/>
        <v>0</v>
      </c>
      <c r="K14" s="28" t="e">
        <f t="shared" si="4"/>
        <v>#REF!</v>
      </c>
    </row>
    <row r="15" spans="1:11" x14ac:dyDescent="0.25">
      <c r="A15" s="12" t="s">
        <v>1</v>
      </c>
      <c r="G15" s="10">
        <f t="shared" si="2"/>
        <v>2026</v>
      </c>
      <c r="H15" s="29">
        <f t="shared" si="0"/>
        <v>0</v>
      </c>
      <c r="I15" s="30" t="e">
        <f t="shared" si="3"/>
        <v>#REF!</v>
      </c>
      <c r="J15" s="29">
        <f t="shared" si="1"/>
        <v>0</v>
      </c>
      <c r="K15" s="30" t="e">
        <f t="shared" si="4"/>
        <v>#REF!</v>
      </c>
    </row>
    <row r="16" spans="1:11" x14ac:dyDescent="0.25">
      <c r="A16" s="13" t="s">
        <v>2</v>
      </c>
      <c r="B16" s="23">
        <v>2015</v>
      </c>
      <c r="D16" s="12" t="s">
        <v>15</v>
      </c>
      <c r="E16" s="21" t="s">
        <v>10</v>
      </c>
      <c r="G16" s="9">
        <f t="shared" si="2"/>
        <v>2027</v>
      </c>
      <c r="H16" s="29">
        <f t="shared" si="0"/>
        <v>0</v>
      </c>
      <c r="I16" s="28" t="e">
        <f t="shared" si="3"/>
        <v>#REF!</v>
      </c>
      <c r="J16" s="29">
        <f t="shared" si="1"/>
        <v>0</v>
      </c>
      <c r="K16" s="28" t="e">
        <f t="shared" si="4"/>
        <v>#REF!</v>
      </c>
    </row>
    <row r="17" spans="1:11" x14ac:dyDescent="0.25">
      <c r="A17" s="13" t="s">
        <v>3</v>
      </c>
      <c r="B17" s="14">
        <v>7.0000000000000007E-2</v>
      </c>
      <c r="D17" s="16" t="s">
        <v>29</v>
      </c>
      <c r="E17" s="25" t="e">
        <f>IF(E9,E9,$E$7*B18*$B$22/10^6)</f>
        <v>#REF!</v>
      </c>
      <c r="G17" s="10">
        <f t="shared" si="2"/>
        <v>2028</v>
      </c>
      <c r="H17" s="29">
        <f t="shared" si="0"/>
        <v>0</v>
      </c>
      <c r="I17" s="30" t="e">
        <f t="shared" si="3"/>
        <v>#REF!</v>
      </c>
      <c r="J17" s="29">
        <f t="shared" si="1"/>
        <v>0</v>
      </c>
      <c r="K17" s="30" t="e">
        <f t="shared" si="4"/>
        <v>#REF!</v>
      </c>
    </row>
    <row r="18" spans="1:11" x14ac:dyDescent="0.25">
      <c r="A18" s="13" t="s">
        <v>21</v>
      </c>
      <c r="B18" s="35" t="e">
        <f>IF($B$6=2,#REF!,0)</f>
        <v>#REF!</v>
      </c>
      <c r="D18" s="16" t="s">
        <v>30</v>
      </c>
      <c r="E18" s="25" t="e">
        <f>IF(E10,E10,$E$7*B19*$B$22/10^6)</f>
        <v>#REF!</v>
      </c>
      <c r="G18" s="9">
        <f t="shared" si="2"/>
        <v>2029</v>
      </c>
      <c r="H18" s="29">
        <f t="shared" si="0"/>
        <v>0</v>
      </c>
      <c r="I18" s="28" t="e">
        <f t="shared" si="3"/>
        <v>#REF!</v>
      </c>
      <c r="J18" s="29">
        <f t="shared" si="1"/>
        <v>0</v>
      </c>
      <c r="K18" s="28" t="e">
        <f t="shared" si="4"/>
        <v>#REF!</v>
      </c>
    </row>
    <row r="19" spans="1:11" x14ac:dyDescent="0.25">
      <c r="A19" s="13" t="s">
        <v>22</v>
      </c>
      <c r="B19" s="35" t="e">
        <f>IF($B$6=2,#REF!,0)</f>
        <v>#REF!</v>
      </c>
      <c r="G19" s="10">
        <f t="shared" si="2"/>
        <v>2030</v>
      </c>
      <c r="H19" s="29">
        <f t="shared" si="0"/>
        <v>0</v>
      </c>
      <c r="I19" s="30" t="e">
        <f t="shared" si="3"/>
        <v>#REF!</v>
      </c>
      <c r="J19" s="29">
        <f t="shared" si="1"/>
        <v>0</v>
      </c>
      <c r="K19" s="30" t="e">
        <f t="shared" si="4"/>
        <v>#REF!</v>
      </c>
    </row>
    <row r="20" spans="1:11" x14ac:dyDescent="0.25">
      <c r="A20" s="13" t="s">
        <v>45</v>
      </c>
      <c r="B20" s="27" t="e">
        <f>#REF!</f>
        <v>#REF!</v>
      </c>
      <c r="G20" s="9">
        <f t="shared" si="2"/>
        <v>2031</v>
      </c>
      <c r="H20" s="29">
        <f t="shared" si="0"/>
        <v>0</v>
      </c>
      <c r="I20" s="28" t="e">
        <f t="shared" si="3"/>
        <v>#REF!</v>
      </c>
      <c r="J20" s="29">
        <f t="shared" si="1"/>
        <v>0</v>
      </c>
      <c r="K20" s="28" t="e">
        <f t="shared" si="4"/>
        <v>#REF!</v>
      </c>
    </row>
    <row r="21" spans="1:11" x14ac:dyDescent="0.25">
      <c r="A21" s="13" t="s">
        <v>46</v>
      </c>
      <c r="B21" s="27" t="e">
        <f>#REF!</f>
        <v>#REF!</v>
      </c>
      <c r="G21" s="10">
        <f t="shared" si="2"/>
        <v>2032</v>
      </c>
      <c r="H21" s="29">
        <f t="shared" si="0"/>
        <v>0</v>
      </c>
      <c r="I21" s="30" t="e">
        <f t="shared" si="3"/>
        <v>#REF!</v>
      </c>
      <c r="J21" s="29">
        <f t="shared" si="1"/>
        <v>0</v>
      </c>
      <c r="K21" s="30" t="e">
        <f t="shared" si="4"/>
        <v>#REF!</v>
      </c>
    </row>
    <row r="22" spans="1:11" x14ac:dyDescent="0.25">
      <c r="A22" s="13" t="s">
        <v>16</v>
      </c>
      <c r="B22" s="13">
        <v>260</v>
      </c>
      <c r="G22" s="9">
        <f t="shared" si="2"/>
        <v>2033</v>
      </c>
      <c r="H22" s="29">
        <f t="shared" si="0"/>
        <v>0</v>
      </c>
      <c r="I22" s="28" t="e">
        <f t="shared" si="3"/>
        <v>#REF!</v>
      </c>
      <c r="J22" s="29">
        <f t="shared" si="1"/>
        <v>0</v>
      </c>
      <c r="K22" s="28" t="e">
        <f t="shared" si="4"/>
        <v>#REF!</v>
      </c>
    </row>
    <row r="23" spans="1:11" x14ac:dyDescent="0.25">
      <c r="G23" s="10">
        <f t="shared" si="2"/>
        <v>2034</v>
      </c>
      <c r="H23" s="29">
        <f t="shared" si="0"/>
        <v>0</v>
      </c>
      <c r="I23" s="30" t="e">
        <f t="shared" si="3"/>
        <v>#REF!</v>
      </c>
      <c r="J23" s="29">
        <f t="shared" si="1"/>
        <v>0</v>
      </c>
      <c r="K23" s="30" t="e">
        <f t="shared" si="4"/>
        <v>#REF!</v>
      </c>
    </row>
    <row r="24" spans="1:11" x14ac:dyDescent="0.25">
      <c r="G24" s="9">
        <f t="shared" si="2"/>
        <v>2035</v>
      </c>
      <c r="H24" s="29">
        <f t="shared" si="0"/>
        <v>0</v>
      </c>
      <c r="I24" s="28" t="e">
        <f t="shared" si="3"/>
        <v>#REF!</v>
      </c>
      <c r="J24" s="29">
        <f t="shared" si="1"/>
        <v>0</v>
      </c>
      <c r="K24" s="28" t="e">
        <f t="shared" si="4"/>
        <v>#REF!</v>
      </c>
    </row>
    <row r="25" spans="1:11" x14ac:dyDescent="0.25">
      <c r="G25" s="10">
        <f t="shared" si="2"/>
        <v>2036</v>
      </c>
      <c r="H25" s="29">
        <f t="shared" ref="H25:H28" si="5">IF($G25&lt;($G$4+$E$5),$E$17,0)</f>
        <v>0</v>
      </c>
      <c r="I25" s="30" t="e">
        <f t="shared" ref="I25:I29" si="6">H25*$B$20/10^3</f>
        <v>#REF!</v>
      </c>
      <c r="J25" s="29">
        <f t="shared" ref="J25:J28" si="7">IF($G25&lt;($G$4+$E$5),$E$18,0)</f>
        <v>0</v>
      </c>
      <c r="K25" s="30" t="e">
        <f t="shared" ref="K25:K29" si="8">J25*$B$21/10^3</f>
        <v>#REF!</v>
      </c>
    </row>
    <row r="26" spans="1:11" x14ac:dyDescent="0.25">
      <c r="G26" s="9">
        <f t="shared" si="2"/>
        <v>2037</v>
      </c>
      <c r="H26" s="29">
        <f t="shared" si="5"/>
        <v>0</v>
      </c>
      <c r="I26" s="28" t="e">
        <f t="shared" si="6"/>
        <v>#REF!</v>
      </c>
      <c r="J26" s="29">
        <f t="shared" si="7"/>
        <v>0</v>
      </c>
      <c r="K26" s="28" t="e">
        <f t="shared" si="8"/>
        <v>#REF!</v>
      </c>
    </row>
    <row r="27" spans="1:11" x14ac:dyDescent="0.25">
      <c r="G27" s="10">
        <f t="shared" si="2"/>
        <v>2038</v>
      </c>
      <c r="H27" s="29">
        <f t="shared" si="5"/>
        <v>0</v>
      </c>
      <c r="I27" s="30" t="e">
        <f t="shared" si="6"/>
        <v>#REF!</v>
      </c>
      <c r="J27" s="29">
        <f t="shared" si="7"/>
        <v>0</v>
      </c>
      <c r="K27" s="30" t="e">
        <f t="shared" si="8"/>
        <v>#REF!</v>
      </c>
    </row>
    <row r="28" spans="1:11" x14ac:dyDescent="0.25">
      <c r="G28" s="9">
        <f t="shared" si="2"/>
        <v>2039</v>
      </c>
      <c r="H28" s="29">
        <f t="shared" si="5"/>
        <v>0</v>
      </c>
      <c r="I28" s="28" t="e">
        <f t="shared" si="6"/>
        <v>#REF!</v>
      </c>
      <c r="J28" s="29">
        <f t="shared" si="7"/>
        <v>0</v>
      </c>
      <c r="K28" s="28" t="e">
        <f t="shared" si="8"/>
        <v>#REF!</v>
      </c>
    </row>
    <row r="29" spans="1:11" x14ac:dyDescent="0.25">
      <c r="G29" s="10">
        <f t="shared" si="2"/>
        <v>2040</v>
      </c>
      <c r="H29" s="29">
        <f>IF($G29&lt;($G$4+$E$5),$E$17,0)</f>
        <v>0</v>
      </c>
      <c r="I29" s="30" t="e">
        <f t="shared" si="6"/>
        <v>#REF!</v>
      </c>
      <c r="J29" s="29">
        <f>IF($G29&lt;($G$4+$E$5),$E$18,0)</f>
        <v>0</v>
      </c>
      <c r="K29" s="30" t="e">
        <f t="shared" si="8"/>
        <v>#REF!</v>
      </c>
    </row>
    <row r="31" spans="1:11" x14ac:dyDescent="0.25">
      <c r="A31" s="22"/>
    </row>
    <row r="53" spans="1:1" x14ac:dyDescent="0.25">
      <c r="A53" t="s">
        <v>11</v>
      </c>
    </row>
    <row r="54" spans="1:1" x14ac:dyDescent="0.25">
      <c r="A54" s="1" t="s">
        <v>13</v>
      </c>
    </row>
    <row r="55" spans="1:1" x14ac:dyDescent="0.25">
      <c r="A55" s="1" t="s">
        <v>12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P52"/>
  <sheetViews>
    <sheetView tabSelected="1" topLeftCell="A7" zoomScale="115" zoomScaleNormal="115" workbookViewId="0">
      <selection activeCell="F15" sqref="F15"/>
    </sheetView>
  </sheetViews>
  <sheetFormatPr defaultRowHeight="15" x14ac:dyDescent="0.25"/>
  <cols>
    <col min="1" max="1" width="48.140625" customWidth="1"/>
    <col min="2" max="2" width="21.7109375" bestFit="1" customWidth="1"/>
    <col min="3" max="3" width="6" customWidth="1"/>
    <col min="4" max="4" width="5.5703125" customWidth="1"/>
    <col min="5" max="5" width="27.7109375" customWidth="1"/>
    <col min="6" max="6" width="22.28515625" bestFit="1" customWidth="1"/>
    <col min="7" max="7" width="20.7109375" bestFit="1" customWidth="1"/>
    <col min="10" max="10" width="21.28515625" customWidth="1"/>
    <col min="12" max="12" width="22.5703125" customWidth="1"/>
    <col min="14" max="14" width="22.42578125" customWidth="1"/>
  </cols>
  <sheetData>
    <row r="2" spans="1:16" x14ac:dyDescent="0.25">
      <c r="J2" s="43" t="s">
        <v>57</v>
      </c>
      <c r="L2" s="43" t="s">
        <v>58</v>
      </c>
      <c r="N2" s="43" t="s">
        <v>66</v>
      </c>
    </row>
    <row r="3" spans="1:16" ht="18.75" x14ac:dyDescent="0.3">
      <c r="A3" s="39" t="s">
        <v>50</v>
      </c>
      <c r="B3" s="40"/>
      <c r="C3" s="40"/>
      <c r="D3" s="40"/>
      <c r="E3" s="40"/>
      <c r="J3" t="s">
        <v>62</v>
      </c>
      <c r="L3" t="s">
        <v>63</v>
      </c>
      <c r="N3" t="s">
        <v>64</v>
      </c>
      <c r="P3" t="s">
        <v>68</v>
      </c>
    </row>
    <row r="4" spans="1:16" x14ac:dyDescent="0.25">
      <c r="J4" t="s">
        <v>59</v>
      </c>
      <c r="L4" t="s">
        <v>64</v>
      </c>
      <c r="N4" t="s">
        <v>65</v>
      </c>
      <c r="P4" t="s">
        <v>67</v>
      </c>
    </row>
    <row r="5" spans="1:16" x14ac:dyDescent="0.25">
      <c r="A5" s="92" t="s">
        <v>0</v>
      </c>
      <c r="B5" s="93"/>
      <c r="E5" s="4" t="s">
        <v>49</v>
      </c>
      <c r="F5" s="44" t="s">
        <v>53</v>
      </c>
      <c r="G5" s="44" t="s">
        <v>52</v>
      </c>
      <c r="J5" t="s">
        <v>60</v>
      </c>
      <c r="L5" t="s">
        <v>65</v>
      </c>
    </row>
    <row r="6" spans="1:16" x14ac:dyDescent="0.25">
      <c r="A6" s="2" t="s">
        <v>5</v>
      </c>
      <c r="B6" s="3" t="s">
        <v>142</v>
      </c>
      <c r="E6" s="2" t="s">
        <v>54</v>
      </c>
      <c r="F6" s="80">
        <v>17456</v>
      </c>
      <c r="G6" s="80">
        <v>17456</v>
      </c>
      <c r="J6" t="s">
        <v>61</v>
      </c>
    </row>
    <row r="7" spans="1:16" x14ac:dyDescent="0.25">
      <c r="A7" s="2" t="s">
        <v>47</v>
      </c>
      <c r="B7" s="3">
        <v>285</v>
      </c>
      <c r="E7" s="2" t="s">
        <v>55</v>
      </c>
      <c r="F7" s="80">
        <v>4</v>
      </c>
      <c r="G7" s="80">
        <v>4</v>
      </c>
    </row>
    <row r="8" spans="1:16" x14ac:dyDescent="0.25">
      <c r="A8" s="2" t="s">
        <v>48</v>
      </c>
      <c r="B8" s="3"/>
      <c r="E8" s="7" t="s">
        <v>56</v>
      </c>
      <c r="F8" s="81">
        <f>IF(AND(F6&gt;0,F7&gt;0), F6/F7, "N/A")</f>
        <v>4364</v>
      </c>
      <c r="G8" s="81">
        <f>IF(AND(G6&gt;0,G7&gt;0), G6/G7, "N/A")</f>
        <v>4364</v>
      </c>
    </row>
    <row r="9" spans="1:16" x14ac:dyDescent="0.25">
      <c r="A9" s="2" t="s">
        <v>51</v>
      </c>
      <c r="B9" s="37">
        <v>2026</v>
      </c>
      <c r="E9" s="7" t="s">
        <v>91</v>
      </c>
      <c r="F9" s="82">
        <f>IF(AND(B17="Yes",B18&gt;1),B18,IF(AND(B17="No",B12="Urban freeway", OR(B11="Added capacity",B11="Grade separation",B11="ITS infrastructure")), 1.00822+0.00003696*F8, IF(AND(B17="No",OR(B11="Added capacity", B11="Grade separation", B11="ITS infrastructure", B11="Access management"),B13="Yes",B12="Urban principal arterial", B14="Urban principal arterial"), 1.18622+0.00003578*F8, IF(AND(B17="No",OR(B11="Added capacity", B11="Grade separation", B11="ITS infrastructure", B11="Access management"), B13="Yes",B12="Other urban street", B14="Other urban street"), 1.18825+0.00003508*F8, IF(AND(B17="No", B13="No", OR(B11="Added capacity", B11="Grade separation", B11="ITS infrastructure"), B12="Urban principal arterial"), 1.18622+0.00003578*F8, IF(AND(B17="No",B13="No", OR(B11="Added capacity", B11="Grade separation", B11="ITS infrastructure"), B12="Other urban street"), 1.18825+0.00003508*F8))))))</f>
        <v>1.3423639199999999</v>
      </c>
      <c r="G9" s="82">
        <f>IF(AND(B10="Yes",B13="No",B15="No",B16="No",B11="Added capacity",B12="Urban freeway"),1.00822+0.00003696*G8,IF(AND(B10="Yes",B13="No",B15="No",B16="No",B11="Added capacity",B12="Urban principal arterial"),1.18622+0.00003578*G8,IF(AND(B10="Yes",B13="No",B15="No",B16="No",B11="Added capacity",B12="Other urban street"),1.18825+0.00003508*G8,IF(AND(B10="Yes",B13="Yes",B15="No",B16="No",OR(B11="Added capacity",B11="Access management"),B12="Urban principal arterial",B14="Urban principal arterial"),1.18622+0.00003578*G8-Calculations!B21*(Calculations!J4-1),IF(AND(B10="Yes",B13="Yes",B15="No",B16="No",OR(B11="Added capacity",B11="Access management"),B12="Other urban street",B14="Other urban street"),1.18825+0.00003508*G8-Calculations!B22*(Calculations!J4-1),IF(AND(B10="Yes",B15="Yes",B13="No",B16="No",OR(B11="Added capacity",B11="Grade separation"),B12="Urban freeway"),1.00822+0.00003696*G8-Calculations!B23*(Calculations!J4-1),IF(AND(B10="Yes",B15="Yes",B13="No",B16="No",OR(B11="Added capacity",B11="Grade separation"),B12="Urban principal arterial"),1.18622+0.00003578*G8-Calculations!B23*(Calculations!J4-1),IF(AND(B10="Yes",B15="Yes",B13="No",B16="No",OR(B11="Added capacity",B11="Grade separation"),B12="Other urban street"),1.18825+0.00003508*G8-Calculations!B23*(Calculations!J4-1),IF(AND(B10="Yes",B16="Yes",B13="No",B15="No",OR(B11="Added capacity",B11="ITS infrastructure"),B12="Urban freeway"),1.00822+0.00003696*G8-Calculations!B24*(Calculations!J4-1),IF(AND(B10="Yes",B16="Yes",B13="No",B15="No",OR(B11="Added capacity",B11="ITS infrastructure"),B12="Urban principal arterial"),1.18622+0.00003578*G8-Calculations!B24*(Calculations!J4-1),IF(AND(B10="Yes",B15="Yes",B13="No",B16="No",OR(B11="Added capacity",B11="ITS infrastructure"),B12="Other urban street"),1.18825+0.00003508*G8-Calculations!B24*(Calculations!J4-1),IF(AND(B10="Yes",B13="Yes",B15="Yes",B16="No",OR(B11="Added capacity",B11="Access management",B11="Grade separation"),B12="Urban principal arterial",B14="Urban principal arterial"),1.18622+0.00003578*G8-Calculations!B21*(Calculations!J4-1)-Calculations!B23*(Calculations!J4-1),IF(AND(B10="Yes",B13="Yes",B15="Yes",B16="No",OR(B11="Added capacity",B11="Access management",B11="Grade separation"),B12="Other urban street",B14="Other urban street"),1.18825+0.00003508*G8-Calculations!B22*(Calculations!J4-1)-Calculations!B23*(Calculations!J4-1),IF(AND(B10="Yes",B13="Yes",B15="No",B16="Yes",OR(B11="Added capacity",B11="Access management",B11="ITS infrastructure"),B12="Urban principal arterial",B14="Urban principal arterial"),1.18622+0.00003578*G8-Calculations!B21*(Calculations!J4-1)-Calculations!B24*(Calculations!J4-1),IF(AND(B10="Yes",B13="Yes",B15="No",B16="Yes",OR(B11="Added capacity",B11="Access management",B11="ITS infrastructure"),B12="Other urban street",B14="Other urban street"),1.18825+0.00003508*G8-Calculations!B22*(Calculations!J4-1)-Calculations!B24*(Calculations!J4-1),IF(AND(B10="Yes",B16="Yes",B13="No",B15="Yes",OR(B11="Added capacity",B11="Grade separation",B11="ITS infrastructure"),B12="Urban freeway"),1.00822+0.00003696*G8-Calculations!B23*(Calculations!J4-1)-Calculations!B24*(Calculations!J4-1),IF(AND(B10="Yes",B16="Yes",B13="No",B15="Yes",OR(B11="Added capacity",B11="Grade separation",B11="ITS infrastructure"),B12="Urban principal arterial"),1.18622+0.00003578*G8-Calculations!B23*(Calculations!J4-1)-Calculations!B24*(Calculations!J4-1),IF(AND(B10="Yes",B15="Yes",B13="No",B16="Yes",OR(B11="Added capacity",B11="Grade separation",B11="ITS infrastructure"),B12="Other urban street"),1.18825+0.00003508*G8-Calculations!B23*(Calculations!J4-1)-Calculations!B24*(Calculations!J4-1),IF(AND(B10="Yes",B13="Yes",B15="Yes",B16="Yes",OR(B11="Added capacity",B11="Access management",B11="Grade separation",B11="ITS infrastructure"),B12="Urban principal arterial",B14="Urban principal arterial"),1.18622+0.00003578*G8-Calculations!B21*(Calculations!J4-1)-Calculations!B23*(Calculations!J4-1)-Calculations!B24*(Calculations!J4-1),IF(AND(B10="Yes",B13="Yes",B15="Yes",B16="Yes",OR(B11="Added capacity",B11="Access management",B11="Grade separation",B11="ITS infrastructure"),B12="Other urban street",B14="Other urban street"),1.18825+0.00003508*G8-B29*(O4-1)-Calculations!B23*(Calculations!J4-1)-Calculations!B24*(Calculations!J4-1),IF(AND(B10="No",B13="Yes",B15="No",B16="No",B11="Access management",B12="Urban principal arterial",B14="Urban principal arterial"),1.18622+0.00003578*G8-Calculations!B21*(Calculations!J4-1),IF(AND(B10="No",B13="Yes",B15="No",B16="No",B11="Access management",B12="Other urban street",B14="Other urban street"),1.18825+0.00003508*G8-Calculations!B22*(Calculations!J4-1),IF(AND(B10="No",B13="Yes",B15="Yes",B16="No",OR(B11="Access management",B11="Grade separation"),B12="Urban principal arterial",B14="Urban principal arterial"),1.18622+0.00003578*G8-Calculations!B21*(Calculations!J4-1)-Calculations!B23*(Calculations!J4-1),IF(AND(B10="No",B13="Yes",B15="Yes",B16="No",OR(B11="Access management",B11="Grade separation"),B12="Other urban street",B14="Other urban street"),1.18825+0.00003508*G8-Calculations!B22*(Calculations!J4-1)-Calculations!B23*(Calculations!J4-1),IF(AND(B10="No",B13="Yes",B15="No",B16="Yes",OR(B11="Access management",B11="ITS infrastructure"),B12="Urban principal arterial",B14="Urban principal arterial"),1.18622+0.00003578*G8-Calculations!B21*(Calculations!J4-1)-Calculations!B24*(Calculations!J4-1),IF(AND(B10="No",B13="Yes",B15="No",B16="Yes",OR(B11="Access management",B11="ITS infrastructure"),B12="Other urban street",B14="Other urban street"),1.18825+0.00003508*G8-Calculations!B22*(Calculations!J4-1)-Calculations!B24*(Calculations!J4-1),IF(AND(B10="No",B13="Yes",B15="Yes",B16="Yes",OR(B11="Access management",B11="Grade separation",B11="ITS infrastructure"),B12="Urban principal arterial",B14="Urban principal arterial"),1.18622+0.00003578*G8-Calculations!B21*(Calculations!J4-1)-Calculations!B23*(Calculations!J4-1)-Calculations!B24*(Calculations!J4-1),IF(AND(B10="No",B13="Yes",B15="Yes",B16="Yes",OR(B11="Access management",B11="Grade separation",B11="ITS infrastructure"),B12="Other urban street",B14="Other urban street"),1.18825+0.00003508*G8-Calculations!B22*(Calculations!J4-1)-Calculations!B23*(Calculations!J4-1)-Calculations!B24*(Calculations!J4-1),IF(AND(B10="No",B13="No",B15="Yes",B16="No",B11="Grade separation",B12="Urban freeway"),1.00822+0.00003696*G8-Calculations!B23*(Calculations!J4-1),IF(AND(B10="No",B13="No",B15="Yes",B16="No",B11="Grade separation",B12="Urban principal arterial"),1.18622+0.00003578*G8-Calculations!B23*(Calculations!J4-1),IF(AND(B10="No",B13="No",B15="Yes",B16="No",B11="Grade separation",B12="Other urban street"),1.18825+0.00003508*G8-Calculations!B23*(Calculations!J4-1),IF(AND(B10="No",B16="Yes",B13="No",B15="Yes",B12="Urban freeway",OR(B11="Grade separation",B11="ITS infrastructure")),1.00822+0.00003696*G8-Calculations!B23*(Calculations!J4-1)-Calculations!B24*(Calculations!J4-1),IF(AND(B10="No",B16="Yes",B13="No",B15="Yes",B12="Urban principal arterial",OR(B11="Grade separation",B11="ITS infrastructure")),1.18622+0.00003578*G8-Calculations!B23*(Calculations!J4-1)-Calculations!B24*(Calculations!J4-1),IF(AND(B10="No",B16="Yes",B13="No",B15="Yes",B12="Other urban street",OR(B11="Grade separation",B11="ITS infrastructure")),1.18825+0.00003508*G8-Calculations!B23*(Calculations!J4-1)-Calculations!B24*(Calculations!J4-1),IF(AND(B10="No",B13="No",B15="No",B16="Yes",B12="Urban freeway",B11="ITS infrastructure"),1.00822+0.00003696*G8-Calculations!B24*(Calculations!J4-1),IF(AND(B10="No",B13="No",B15="No",B16="Yes",B12="Urban principal arterial",B11="ITS infrastructure"),1.18622+0.00003578*G8-Calculations!B24*(Calculations!J4-1),IF(AND(B10="No",B13="No",B15="No",B16="Yes",B12="Other urban street",B11="ITS infrastructure"),1.18825+0.00003508*G8-Calculations!B24*(Calculations!J4-1))))))))))))))))))))))))))))))))))))))</f>
        <v>1.3012802496</v>
      </c>
    </row>
    <row r="10" spans="1:16" x14ac:dyDescent="0.25">
      <c r="A10" s="2" t="s">
        <v>93</v>
      </c>
      <c r="B10" s="54" t="s">
        <v>67</v>
      </c>
      <c r="E10" s="7" t="s">
        <v>70</v>
      </c>
      <c r="F10" s="83">
        <f>IF(OR(F9=FALSE,G9=FALSE),"N/A",(F9-G9))</f>
        <v>4.1083670399999939E-2</v>
      </c>
      <c r="G10" s="84"/>
    </row>
    <row r="11" spans="1:16" x14ac:dyDescent="0.25">
      <c r="A11" s="2" t="s">
        <v>95</v>
      </c>
      <c r="B11" s="80" t="s">
        <v>61</v>
      </c>
      <c r="E11" s="7" t="s">
        <v>75</v>
      </c>
      <c r="F11" s="94">
        <f>IF(OR(F9=FALSE,G9=FALSE,F10=FALSE), "N/A", IF(OR(F10=0.1,AND(0.01&lt;F10,F10&lt;0.1)), 5, (IF(OR(F10=0.2,AND(0.1&lt;F10,F10&lt;0.2)), 10, (IF(OR(F10=0.3,AND(0.2&lt;F10,F10&lt;0.3)), 15, IF(F10&gt;0.3, 20,"N/A")))))))</f>
        <v>5</v>
      </c>
      <c r="G11" s="95"/>
      <c r="H11" s="96"/>
      <c r="I11" s="97"/>
      <c r="J11" s="97"/>
      <c r="K11" s="97"/>
      <c r="L11" s="97"/>
    </row>
    <row r="12" spans="1:16" x14ac:dyDescent="0.25">
      <c r="A12" s="2" t="s">
        <v>58</v>
      </c>
      <c r="B12" s="80" t="s">
        <v>64</v>
      </c>
      <c r="E12" s="24"/>
      <c r="F12" s="24"/>
      <c r="G12" s="24"/>
      <c r="H12" s="96"/>
      <c r="I12" s="97"/>
      <c r="J12" s="97"/>
      <c r="K12" s="97"/>
      <c r="L12" s="97"/>
    </row>
    <row r="13" spans="1:16" x14ac:dyDescent="0.25">
      <c r="A13" s="2" t="s">
        <v>87</v>
      </c>
      <c r="B13" s="80" t="s">
        <v>67</v>
      </c>
      <c r="E13" s="24"/>
      <c r="F13" s="24"/>
      <c r="G13" s="24"/>
    </row>
    <row r="14" spans="1:16" x14ac:dyDescent="0.25">
      <c r="A14" s="2" t="s">
        <v>69</v>
      </c>
      <c r="B14" s="80" t="s">
        <v>64</v>
      </c>
      <c r="E14" s="47"/>
      <c r="F14" s="47"/>
      <c r="G14" s="47"/>
    </row>
    <row r="15" spans="1:16" x14ac:dyDescent="0.25">
      <c r="A15" s="2" t="s">
        <v>92</v>
      </c>
      <c r="B15" s="80" t="s">
        <v>67</v>
      </c>
    </row>
    <row r="16" spans="1:16" x14ac:dyDescent="0.25">
      <c r="A16" s="2" t="s">
        <v>94</v>
      </c>
      <c r="B16" s="80" t="s">
        <v>68</v>
      </c>
    </row>
    <row r="17" spans="1:6" x14ac:dyDescent="0.25">
      <c r="A17" s="2" t="s">
        <v>86</v>
      </c>
      <c r="B17" s="80" t="s">
        <v>67</v>
      </c>
      <c r="F17" s="45"/>
    </row>
    <row r="18" spans="1:6" x14ac:dyDescent="0.25">
      <c r="A18" s="2" t="s">
        <v>101</v>
      </c>
      <c r="B18" s="80">
        <v>1.6</v>
      </c>
    </row>
    <row r="19" spans="1:6" x14ac:dyDescent="0.25">
      <c r="A19" s="2" t="s">
        <v>96</v>
      </c>
      <c r="B19" s="3"/>
      <c r="C19" s="47"/>
      <c r="D19" s="47"/>
    </row>
    <row r="20" spans="1:6" x14ac:dyDescent="0.25">
      <c r="E20" s="47"/>
    </row>
    <row r="28" spans="1:6" x14ac:dyDescent="0.25">
      <c r="A28" s="22"/>
    </row>
    <row r="51" spans="1:1" x14ac:dyDescent="0.25">
      <c r="A51" s="1"/>
    </row>
    <row r="52" spans="1:1" x14ac:dyDescent="0.25">
      <c r="A52" s="1"/>
    </row>
  </sheetData>
  <sheetProtection algorithmName="SHA-512" hashValue="ixw3MsKANjEGOO07KxcAyWAt7aQeTVRtvtcEMWRnAQmd3y5CmVoyYHNBRjZ6NxAH6X3gM9xLut+Sk16RcCjElw==" saltValue="c/wIEZifUrcna8LRtVExDA==" spinCount="100000" sheet="1" objects="1" scenarios="1"/>
  <mergeCells count="4">
    <mergeCell ref="A5:B5"/>
    <mergeCell ref="F11:G11"/>
    <mergeCell ref="H11:L11"/>
    <mergeCell ref="H12:L12"/>
  </mergeCells>
  <dataValidations count="4">
    <dataValidation type="list" allowBlank="1" showInputMessage="1" showErrorMessage="1" sqref="B11">
      <formula1>$J$3:$J$6</formula1>
    </dataValidation>
    <dataValidation type="list" allowBlank="1" showInputMessage="1" showErrorMessage="1" sqref="B12">
      <formula1>$L$3:$L$5</formula1>
    </dataValidation>
    <dataValidation type="list" allowBlank="1" showInputMessage="1" showErrorMessage="1" sqref="B13 B15:B17 B10">
      <formula1>$P$3:$P$4</formula1>
    </dataValidation>
    <dataValidation type="list" allowBlank="1" showInputMessage="1" showErrorMessage="1" sqref="B14">
      <formula1>$N$3:$N$4</formula1>
    </dataValidation>
  </dataValidations>
  <pageMargins left="0.25" right="0.25"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32"/>
  <sheetViews>
    <sheetView zoomScale="85" zoomScaleNormal="85" workbookViewId="0">
      <selection activeCell="E46" sqref="E46"/>
    </sheetView>
  </sheetViews>
  <sheetFormatPr defaultRowHeight="15" x14ac:dyDescent="0.25"/>
  <cols>
    <col min="1" max="1" width="45.140625" bestFit="1" customWidth="1"/>
    <col min="2" max="2" width="33.42578125" customWidth="1"/>
    <col min="3" max="3" width="5.28515625" customWidth="1"/>
    <col min="4" max="5" width="25.5703125" customWidth="1"/>
    <col min="6" max="6" width="17.140625" customWidth="1"/>
    <col min="7" max="7" width="4.5703125" customWidth="1"/>
    <col min="8" max="8" width="9.28515625" bestFit="1" customWidth="1"/>
    <col min="9" max="9" width="16.85546875" style="56" bestFit="1" customWidth="1"/>
    <col min="10" max="10" width="19.5703125" customWidth="1"/>
    <col min="11" max="11" width="17.85546875" customWidth="1"/>
  </cols>
  <sheetData>
    <row r="1" spans="1:11" x14ac:dyDescent="0.25">
      <c r="F1" s="42"/>
      <c r="G1" s="42"/>
      <c r="H1" s="42"/>
      <c r="J1" s="43"/>
      <c r="K1" s="43"/>
    </row>
    <row r="3" spans="1:11" ht="30" x14ac:dyDescent="0.25">
      <c r="A3" s="51" t="s">
        <v>88</v>
      </c>
      <c r="B3" s="53"/>
      <c r="D3" s="12" t="s">
        <v>15</v>
      </c>
      <c r="E3" s="21" t="s">
        <v>9</v>
      </c>
      <c r="F3" s="21" t="s">
        <v>10</v>
      </c>
      <c r="H3" s="11" t="s">
        <v>14</v>
      </c>
      <c r="I3" s="57" t="s">
        <v>100</v>
      </c>
      <c r="J3" s="74" t="s">
        <v>77</v>
      </c>
      <c r="K3" s="74" t="s">
        <v>78</v>
      </c>
    </row>
    <row r="4" spans="1:11" x14ac:dyDescent="0.25">
      <c r="A4" s="46" t="s">
        <v>71</v>
      </c>
      <c r="B4" s="50" t="b">
        <f>IF(AND('Inputs &amp; Outputs'!B11="Added capacity",'Inputs &amp; Outputs'!B17="Yes",'Inputs &amp; Outputs'!B18&gt;1),'Inputs &amp; Outputs'!F9-'Inputs &amp; Outputs'!G9,IF(AND('Inputs &amp; Outputs'!B17="No",'Inputs &amp; Outputs'!B11="Added capacity",'Inputs &amp; Outputs'!B12="Urban freeway"),(1.00822+0.00003696*'Inputs &amp; Outputs'!F8)-(1.00822+0.00003696*'Inputs &amp; Outputs'!G8)))</f>
        <v>0</v>
      </c>
      <c r="D4" s="13" t="s">
        <v>76</v>
      </c>
      <c r="E4" s="77">
        <f>+J4</f>
        <v>1.3423639199999999</v>
      </c>
      <c r="F4" s="78">
        <f>+K4</f>
        <v>1.3012802496</v>
      </c>
      <c r="H4" s="38">
        <v>2018</v>
      </c>
      <c r="I4" s="58" t="e">
        <f>MIN(#REF!,1)</f>
        <v>#REF!</v>
      </c>
      <c r="J4" s="75">
        <f>IF(AND('Inputs &amp; Outputs'!B17="Yes",'Inputs &amp; Outputs'!B18&gt;1),'Inputs &amp; Outputs'!B18,IF(AND('Inputs &amp; Outputs'!B17="No",'Inputs &amp; Outputs'!B12="Urban freeway",OR('Inputs &amp; Outputs'!B11="Added capacity",'Inputs &amp; Outputs'!B11="Grade separation",'Inputs &amp; Outputs'!B11="ITS infrastructure")),1.00822+0.00003696*'Inputs &amp; Outputs'!F8,IF(AND('Inputs &amp; Outputs'!B17="No",OR('Inputs &amp; Outputs'!B11="Added capacity",'Inputs &amp; Outputs'!B11="Grade separation",'Inputs &amp; Outputs'!B11="ITS infrastructure",'Inputs &amp; Outputs'!B11="Access management"),'Inputs &amp; Outputs'!B13="Yes",'Inputs &amp; Outputs'!B12="Urban principal arterial",'Inputs &amp; Outputs'!B14="Urban principal arterial"),1.18622+0.00003578*'Inputs &amp; Outputs'!F8,IF(AND('Inputs &amp; Outputs'!B17="No",OR('Inputs &amp; Outputs'!B11="Added capacity",'Inputs &amp; Outputs'!B11="Grade separation",'Inputs &amp; Outputs'!B11="ITS infrastructure",'Inputs &amp; Outputs'!B11="Access management"),'Inputs &amp; Outputs'!B13="Yes",'Inputs &amp; Outputs'!B12="Other urban street",'Inputs &amp; Outputs'!B14="Other urban street"),1.18825+0.00003508*'Inputs &amp; Outputs'!F8,IF(AND('Inputs &amp; Outputs'!B17="No",'Inputs &amp; Outputs'!B13="No",OR('Inputs &amp; Outputs'!B11="Added capacity",'Inputs &amp; Outputs'!B11="Grade separation",'Inputs &amp; Outputs'!B11="ITS infrastructure"),'Inputs &amp; Outputs'!B12="Urban principal arterial"),1.18622+0.00003578*'Inputs &amp; Outputs'!F8,IF(AND('Inputs &amp; Outputs'!B17="No",'Inputs &amp; Outputs'!B13="No",OR('Inputs &amp; Outputs'!B11="Added capacity",'Inputs &amp; Outputs'!B11="Grade separation",'Inputs &amp; Outputs'!B11="ITS infrastructure"),'Inputs &amp; Outputs'!B12="Other urban street"),1.18825+0.00003508*'Inputs &amp; Outputs'!F8))))))</f>
        <v>1.3423639199999999</v>
      </c>
      <c r="K4" s="76">
        <f>'Inputs &amp; Outputs'!G9</f>
        <v>1.3012802496</v>
      </c>
    </row>
    <row r="5" spans="1:11" x14ac:dyDescent="0.25">
      <c r="A5" s="46" t="s">
        <v>72</v>
      </c>
      <c r="B5" s="50" t="b">
        <f>IF(AND('Inputs &amp; Outputs'!B11="Added capacity",'Inputs &amp; Outputs'!B17="Yes",'Inputs &amp; Outputs'!B18&gt;1),'Inputs &amp; Outputs'!F9-'Inputs &amp; Outputs'!G9,IF(AND('Inputs &amp; Outputs'!B17="No",'Inputs &amp; Outputs'!B11="Added capacity",'Inputs &amp; Outputs'!B12="Urban principal arterial"),(1.18622+0.00003578*'Inputs &amp; Outputs'!F8)-(1.18622+0.00003578*'Inputs &amp; Outputs'!G8)))</f>
        <v>0</v>
      </c>
      <c r="H5" s="71"/>
      <c r="I5" s="72"/>
      <c r="J5" s="73"/>
      <c r="K5" s="73"/>
    </row>
    <row r="6" spans="1:11" x14ac:dyDescent="0.25">
      <c r="A6" s="46" t="s">
        <v>73</v>
      </c>
      <c r="B6" s="50" t="b">
        <f>IF(AND('Inputs &amp; Outputs'!B11="Added capacity",'Inputs &amp; Outputs'!B17="Yes",'Inputs &amp; Outputs'!B18&gt;1),'Inputs &amp; Outputs'!F9-'Inputs &amp; Outputs'!G9,IF(AND('Inputs &amp; Outputs'!B17="No",'Inputs &amp; Outputs'!B11="Added capacity",'Inputs &amp; Outputs'!B12="Other urban street"),(1.18825+0.00003508*'Inputs &amp; Outputs'!F8)-(1.18825+0.00003508*'Inputs &amp; Outputs'!G8)))</f>
        <v>0</v>
      </c>
      <c r="H6" s="71"/>
      <c r="I6" s="72"/>
      <c r="J6" s="73"/>
      <c r="K6" s="73"/>
    </row>
    <row r="7" spans="1:11" x14ac:dyDescent="0.25">
      <c r="A7" s="43" t="s">
        <v>89</v>
      </c>
      <c r="B7" s="50" t="str">
        <f>IF(AND('Inputs &amp; Outputs'!B11="Access management", 'Inputs &amp; Outputs'!B13="Yes", 'Inputs &amp; Outputs'!B14="Urban principal arterial"),B21*(J4-1),"FALSE")</f>
        <v>FALSE</v>
      </c>
      <c r="H7" s="71"/>
      <c r="I7" s="72"/>
      <c r="J7" s="73"/>
      <c r="K7" s="73"/>
    </row>
    <row r="8" spans="1:11" x14ac:dyDescent="0.25">
      <c r="A8" s="43" t="s">
        <v>90</v>
      </c>
      <c r="B8" s="50" t="str">
        <f>IF(AND('Inputs &amp; Outputs'!B11="Access management", 'Inputs &amp; Outputs'!B13="Yes",'Inputs &amp; Outputs'!B12="Other urban street", 'Inputs &amp; Outputs'!B14="Other urban street"),B22*(J4-1),"FALSE")</f>
        <v>FALSE</v>
      </c>
      <c r="H8" s="71"/>
      <c r="I8" s="72"/>
      <c r="J8" s="73"/>
      <c r="K8" s="73"/>
    </row>
    <row r="9" spans="1:11" x14ac:dyDescent="0.25">
      <c r="A9" s="43" t="s">
        <v>60</v>
      </c>
      <c r="B9" s="50" t="str">
        <f>IF('Inputs &amp; Outputs'!B11="Grade separation",B23*(J4-1),"FALSE")</f>
        <v>FALSE</v>
      </c>
      <c r="H9" s="71"/>
      <c r="I9" s="72"/>
      <c r="J9" s="73"/>
      <c r="K9" s="73"/>
    </row>
    <row r="10" spans="1:11" x14ac:dyDescent="0.25">
      <c r="A10" s="43" t="s">
        <v>74</v>
      </c>
      <c r="B10" s="50">
        <f>IF('Inputs &amp; Outputs'!B11="ITS Infrastructure",B24*(J4-1),"FALSE")</f>
        <v>4.1083670399999987E-2</v>
      </c>
      <c r="E10" s="52"/>
      <c r="H10" s="71"/>
      <c r="I10" s="72"/>
      <c r="J10" s="73"/>
      <c r="K10" s="73"/>
    </row>
    <row r="11" spans="1:11" x14ac:dyDescent="0.25">
      <c r="E11" s="52"/>
      <c r="H11" s="71"/>
      <c r="I11" s="72"/>
      <c r="J11" s="73"/>
      <c r="K11" s="73"/>
    </row>
    <row r="12" spans="1:11" x14ac:dyDescent="0.25">
      <c r="E12" s="52"/>
      <c r="H12" s="71"/>
      <c r="I12" s="72"/>
      <c r="J12" s="73"/>
      <c r="K12" s="73"/>
    </row>
    <row r="13" spans="1:11" x14ac:dyDescent="0.25">
      <c r="E13" s="52"/>
      <c r="H13" s="71"/>
      <c r="I13" s="72"/>
      <c r="J13" s="73"/>
      <c r="K13" s="73"/>
    </row>
    <row r="14" spans="1:11" x14ac:dyDescent="0.25">
      <c r="E14" s="52"/>
      <c r="H14" s="71"/>
      <c r="I14" s="72"/>
      <c r="J14" s="73"/>
      <c r="K14" s="73"/>
    </row>
    <row r="15" spans="1:11" x14ac:dyDescent="0.25">
      <c r="A15" s="51" t="s">
        <v>79</v>
      </c>
      <c r="B15" s="43"/>
      <c r="E15" s="52"/>
      <c r="H15" s="71"/>
      <c r="I15" s="72"/>
      <c r="J15" s="73"/>
      <c r="K15" s="73"/>
    </row>
    <row r="16" spans="1:11" x14ac:dyDescent="0.25">
      <c r="A16" s="43" t="s">
        <v>80</v>
      </c>
      <c r="B16" s="49" t="s">
        <v>82</v>
      </c>
      <c r="E16" s="52"/>
      <c r="H16" s="71"/>
      <c r="I16" s="72"/>
      <c r="J16" s="73"/>
      <c r="K16" s="73"/>
    </row>
    <row r="17" spans="1:11" x14ac:dyDescent="0.25">
      <c r="A17" s="43" t="s">
        <v>85</v>
      </c>
      <c r="B17" s="49" t="s">
        <v>83</v>
      </c>
      <c r="H17" s="71"/>
      <c r="I17" s="72"/>
      <c r="J17" s="73"/>
      <c r="K17" s="73"/>
    </row>
    <row r="18" spans="1:11" x14ac:dyDescent="0.25">
      <c r="A18" s="43" t="s">
        <v>81</v>
      </c>
      <c r="B18" s="49" t="s">
        <v>84</v>
      </c>
      <c r="E18" s="52"/>
      <c r="H18" s="71"/>
      <c r="I18" s="72"/>
      <c r="J18" s="73"/>
      <c r="K18" s="73"/>
    </row>
    <row r="19" spans="1:11" x14ac:dyDescent="0.25">
      <c r="E19" s="52"/>
      <c r="H19" s="71"/>
      <c r="I19" s="72"/>
      <c r="J19" s="73"/>
      <c r="K19" s="73"/>
    </row>
    <row r="20" spans="1:11" x14ac:dyDescent="0.25">
      <c r="A20" s="51" t="s">
        <v>98</v>
      </c>
      <c r="B20" s="43"/>
      <c r="E20" s="52"/>
      <c r="H20" s="71"/>
      <c r="I20" s="72"/>
      <c r="J20" s="73"/>
      <c r="K20" s="73"/>
    </row>
    <row r="21" spans="1:11" x14ac:dyDescent="0.25">
      <c r="A21" s="43" t="s">
        <v>89</v>
      </c>
      <c r="B21" s="48">
        <v>0.15</v>
      </c>
      <c r="E21" s="52"/>
      <c r="H21" s="71"/>
      <c r="I21" s="72"/>
      <c r="J21" s="73"/>
      <c r="K21" s="73"/>
    </row>
    <row r="22" spans="1:11" x14ac:dyDescent="0.25">
      <c r="A22" s="43" t="s">
        <v>90</v>
      </c>
      <c r="B22" s="48">
        <v>0.12</v>
      </c>
      <c r="H22" s="71"/>
      <c r="I22" s="72"/>
      <c r="J22" s="73"/>
      <c r="K22" s="73"/>
    </row>
    <row r="23" spans="1:11" x14ac:dyDescent="0.25">
      <c r="A23" s="43" t="s">
        <v>60</v>
      </c>
      <c r="B23" s="48">
        <v>0.25</v>
      </c>
      <c r="H23" s="71"/>
      <c r="I23" s="72"/>
      <c r="J23" s="73"/>
      <c r="K23" s="73"/>
    </row>
    <row r="24" spans="1:11" x14ac:dyDescent="0.25">
      <c r="A24" s="43" t="s">
        <v>74</v>
      </c>
      <c r="B24" s="48">
        <v>0.12</v>
      </c>
      <c r="H24" s="71"/>
      <c r="I24" s="72"/>
      <c r="J24" s="73"/>
      <c r="K24" s="73"/>
    </row>
    <row r="25" spans="1:11" x14ac:dyDescent="0.25">
      <c r="H25" s="71"/>
      <c r="I25" s="72"/>
      <c r="J25" s="73"/>
      <c r="K25" s="73"/>
    </row>
    <row r="26" spans="1:11" x14ac:dyDescent="0.25">
      <c r="H26" s="71"/>
      <c r="I26" s="72"/>
      <c r="J26" s="73"/>
      <c r="K26" s="73"/>
    </row>
    <row r="29" spans="1:11" x14ac:dyDescent="0.25">
      <c r="A29" s="55" t="s">
        <v>99</v>
      </c>
    </row>
    <row r="30" spans="1:11" x14ac:dyDescent="0.25">
      <c r="A30" s="41" t="s">
        <v>97</v>
      </c>
    </row>
    <row r="31" spans="1:11" x14ac:dyDescent="0.25">
      <c r="A31" s="1"/>
    </row>
    <row r="32" spans="1:11" x14ac:dyDescent="0.25">
      <c r="A32" s="1"/>
    </row>
  </sheetData>
  <sheetProtection algorithmName="SHA-512" hashValue="ocCGkuelKS3n2nG+oFcrgNlkitu6UFapvHqzkupkYiUKlqRULwVJ6hsLwyc3PpDyEpdjFSQY6sa6oTl3W00azQ==" saltValue="k5u662SY8x+rChrXELUqrQ==" spinCount="100000" sheet="1" objects="1" scenarios="1"/>
  <hyperlinks>
    <hyperlink ref="A48" r:id="rId1" display="https://policy.tti.tamu.edu/congestion/estimating-congestion-benefits-of-transportation-projects-with-fixit-2-0/"/>
  </hyperlinks>
  <pageMargins left="0.25" right="0.25" top="0.75" bottom="0.75" header="0.3" footer="0.3"/>
  <pageSetup paperSize="3" scale="2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ITS Delay Worksheet</vt:lpstr>
      <vt:lpstr>Emissions Reduction Worksheet</vt:lpstr>
      <vt:lpstr>Inputs &amp; Outputs</vt:lpstr>
      <vt:lpstr>Calculations</vt:lpstr>
      <vt:lpstr>Application_ID_Number</vt:lpstr>
      <vt:lpstr>Name</vt:lpstr>
      <vt:lpstr>Calculations!Print_Area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Douglas L. White</cp:lastModifiedBy>
  <cp:lastPrinted>2018-04-10T17:15:43Z</cp:lastPrinted>
  <dcterms:created xsi:type="dcterms:W3CDTF">2012-07-25T15:48:32Z</dcterms:created>
  <dcterms:modified xsi:type="dcterms:W3CDTF">2018-10-31T18:14:36Z</dcterms:modified>
</cp:coreProperties>
</file>