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5_FM1942/"/>
    </mc:Choice>
  </mc:AlternateContent>
  <xr:revisionPtr revIDLastSave="26" documentId="8_{5A2F3325-5BD1-489C-9F9D-5CF96EFB0364}" xr6:coauthVersionLast="40" xr6:coauthVersionMax="40" xr10:uidLastSave="{93981066-C5F5-45EF-84DD-31AC0C05A88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<sst xmlns="http://schemas.openxmlformats.org/spreadsheetml/2006/main" count="292" uniqueCount="238">
  <si>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</si>
  <si>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</si>
  <si>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</si>
  <si>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</si>
  <si>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</si>
  <si>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</si>
  <si>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</si>
  <si>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</si>
  <si>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</si>
  <si>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</si>
  <si>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</si>
  <si>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</si>
  <si>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</si>
  <si>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</si>
  <si>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</si>
  <si>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</si>
  <si>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</si>
  <si>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</si>
  <si>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</si>
  <si>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</si>
  <si>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</si>
  <si>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</si>
  <si>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</si>
  <si>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</si>
  <si>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</si>
  <si>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</si>
  <si>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</si>
  <si>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</si>
  <si>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</si>
  <si>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</si>
  <si>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</si>
  <si>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</si>
  <si>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</si>
  <si>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</si>
  <si>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</si>
  <si>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</si>
  <si>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</si>
  <si>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</si>
  <si>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</si>
  <si>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</si>
  <si>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</si>
  <si>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</si>
  <si>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</si>
  <si>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</si>
  <si>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</si>
  <si>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</si>
  <si>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</si>
  <si>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</si>
  <si>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</si>
  <si>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1942 Turn Lanes</t>
  </si>
  <si>
    <t>Data entered by the sponsors</t>
  </si>
  <si>
    <t>County</t>
  </si>
  <si>
    <t>Chambers</t>
  </si>
  <si>
    <t>HGAC regional travel demand model data provided by HGAC</t>
  </si>
  <si>
    <t>Facility Type</t>
  </si>
  <si>
    <t>Non Freeway</t>
  </si>
  <si>
    <t>Data populated/calculated based on inputs</t>
  </si>
  <si>
    <t>Street Name:</t>
  </si>
  <si>
    <t>FM 1942</t>
  </si>
  <si>
    <t>Benefits calculated by the template</t>
  </si>
  <si>
    <t>Limits (From)</t>
  </si>
  <si>
    <t>Hatcherville Rd.</t>
  </si>
  <si>
    <t>Limits (To)</t>
  </si>
  <si>
    <t>SH 146</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</si>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</sst>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5" sqref="B15"/>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1.33</v>
      </c>
    </row>
    <row r="13" spans="1:7">
      <c r="A13" s="7" t="s">
        <v>65</v>
      </c>
      <c r="B13" s="116">
        <v>243</v>
      </c>
      <c r="F13" s="99"/>
    </row>
    <row r="14" spans="1:7">
      <c r="A14" s="7" t="s">
        <v>66</v>
      </c>
      <c r="B14" s="116" t="s">
        <v>67</v>
      </c>
    </row>
    <row r="17" spans="1:7">
      <c r="A17" s="98" t="s">
        <v>68</v>
      </c>
      <c r="E17" s="130" t="s">
        <v>69</v>
      </c>
      <c r="F17" s="131"/>
    </row>
    <row r="18" spans="1:7">
      <c r="A18" s="7" t="s">
        <v>70</v>
      </c>
      <c r="B18" s="117">
        <v>2025</v>
      </c>
      <c r="E18" s="87" t="s">
        <v>71</v>
      </c>
      <c r="F18" s="122">
        <f>$B$12/$B$32</f>
        <v>2.462962962962963E-2</v>
      </c>
    </row>
    <row r="19" spans="1:7" ht="30">
      <c r="A19" s="7" t="s">
        <v>72</v>
      </c>
      <c r="B19" s="118" t="s">
        <v>73</v>
      </c>
      <c r="E19" s="89" t="s">
        <v>74</v>
      </c>
      <c r="F19" s="123">
        <f>$B$12/$B$33</f>
        <v>3.0930232558139537E-2</v>
      </c>
    </row>
    <row r="20" spans="1:7" ht="30">
      <c r="A20" s="113" t="s">
        <v>75</v>
      </c>
      <c r="B20" s="114">
        <f>VLOOKUP(B19,'Delay Reduction Factors'!B4:C80,2, FALSE)</f>
        <v>0.4</v>
      </c>
      <c r="E20" s="89" t="s">
        <v>76</v>
      </c>
      <c r="F20" s="122">
        <f>$F$19-$F$18</f>
        <v>6.3006029285099067E-3</v>
      </c>
    </row>
    <row r="21" spans="1:7">
      <c r="A21" s="7" t="s">
        <v>77</v>
      </c>
      <c r="B21" s="63">
        <v>20</v>
      </c>
      <c r="D21" s="100"/>
      <c r="E21" s="87" t="s">
        <v>78</v>
      </c>
      <c r="F21" s="122">
        <f>$F$20*$B$20</f>
        <v>2.520241171403963E-3</v>
      </c>
      <c r="G21" s="101"/>
    </row>
    <row r="22" spans="1:7">
      <c r="D22" s="100"/>
      <c r="E22" s="87" t="s">
        <v>79</v>
      </c>
      <c r="F22" s="122">
        <f>$F$20-$F$21</f>
        <v>3.7803617571059438E-3</v>
      </c>
      <c r="G22" s="101"/>
    </row>
    <row r="23" spans="1:7">
      <c r="E23" s="87" t="s">
        <v>80</v>
      </c>
      <c r="F23" s="122">
        <f>$F$18+$F$22</f>
        <v>2.8409991386735573E-2</v>
      </c>
    </row>
    <row r="24" spans="1:7">
      <c r="A24" s="98" t="s">
        <v>81</v>
      </c>
      <c r="B24" s="102"/>
      <c r="D24" s="100"/>
    </row>
    <row r="25" spans="1:7">
      <c r="A25" s="7" t="s">
        <v>82</v>
      </c>
      <c r="B25" s="126">
        <v>13034</v>
      </c>
      <c r="D25" s="100"/>
    </row>
    <row r="28" spans="1:7">
      <c r="A28" s="87" t="s">
        <v>83</v>
      </c>
      <c r="B28" s="112">
        <f>IF(FacilityType='Delay Reduction Factors'!N5,'Inputs &amp; Outputs'!B25*45%, B25*43%)</f>
        <v>5604.62</v>
      </c>
      <c r="D28" s="100"/>
      <c r="E28" s="103" t="s">
        <v>84</v>
      </c>
      <c r="F28" s="104" t="s">
        <v>2</v>
      </c>
      <c r="G28" s="105" t="s">
        <v>85</v>
      </c>
    </row>
    <row r="29" spans="1:7">
      <c r="A29" s="87" t="s">
        <v>86</v>
      </c>
      <c r="B29" s="95">
        <f>VLOOKUP(Year_Open_to_Traffic?,Calculations!H4:I36,2)</f>
        <v>6886</v>
      </c>
      <c r="D29" s="100"/>
      <c r="E29" s="89" t="s">
        <v>87</v>
      </c>
      <c r="F29" s="83">
        <f>$B$29*$F$23</f>
        <v>195.63120068906116</v>
      </c>
      <c r="G29" s="84">
        <f>$B$29*$F$19</f>
        <v>212.98558139534885</v>
      </c>
    </row>
    <row r="30" spans="1:7">
      <c r="B30" s="82"/>
      <c r="D30" s="100"/>
    </row>
    <row r="32" spans="1:7">
      <c r="A32" s="106" t="s">
        <v>88</v>
      </c>
      <c r="B32" s="119">
        <v>54</v>
      </c>
      <c r="D32" s="100"/>
    </row>
    <row r="33" spans="1:7" ht="30">
      <c r="A33" s="107" t="s">
        <v>89</v>
      </c>
      <c r="B33" s="120">
        <v>43</v>
      </c>
      <c r="D33" s="100"/>
      <c r="E33" s="100"/>
      <c r="F33" s="108"/>
    </row>
    <row r="34" spans="1:7">
      <c r="A34" s="109"/>
      <c r="B34" s="121"/>
      <c r="F34" s="108"/>
      <c r="G34" s="108"/>
    </row>
    <row r="35" spans="1:7">
      <c r="A35" s="87" t="s">
        <v>90</v>
      </c>
      <c r="B35" s="125">
        <f>$B$28</f>
        <v>5604.62</v>
      </c>
    </row>
    <row r="36" spans="1:7">
      <c r="A36" s="106" t="s">
        <v>91</v>
      </c>
      <c r="B36" s="119">
        <v>10360</v>
      </c>
    </row>
    <row r="37" spans="1:7">
      <c r="A37" s="106" t="s">
        <v>92</v>
      </c>
      <c r="B37" s="119">
        <v>6886</v>
      </c>
    </row>
    <row r="38" spans="1:7">
      <c r="A38" s="106" t="s">
        <v>93</v>
      </c>
      <c r="B38" s="119">
        <v>10360</v>
      </c>
    </row>
    <row r="39" spans="1:7">
      <c r="A39" s="106" t="s">
        <v>94</v>
      </c>
      <c r="B39" s="119">
        <v>9887</v>
      </c>
    </row>
    <row r="40" spans="1:7">
      <c r="A40" s="106" t="s">
        <v>95</v>
      </c>
      <c r="B40" s="119">
        <v>10360</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1273.5746096148953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50864.112179155898</v>
      </c>
      <c r="F4" s="21">
        <f>'Inputs &amp; Outputs'!G29*Annual_Days_of_Travel</f>
        <v>55376.251162790701</v>
      </c>
      <c r="H4" s="49">
        <v>2018</v>
      </c>
      <c r="I4" s="50">
        <f>'Inputs &amp; Outputs'!B28</f>
        <v>5604.62</v>
      </c>
      <c r="J4" s="50">
        <f>IF(H4=Year_Open_to_Traffic?,$F$4,0)</f>
        <v>0</v>
      </c>
      <c r="K4" s="50">
        <f>IF(H4=Year_Open_to_Traffic?,Calculations!$E$4,0)</f>
        <v>0</v>
      </c>
      <c r="L4" s="50">
        <f>IF(AND(H4&gt;=Year_Open_to_Traffic?, Calculations!H4&lt;Year_Open_to_Traffic?+'Inputs &amp; Outputs'!B$21), 1, 0)</f>
        <v>0</v>
      </c>
      <c r="M4" s="65" t="s">
        <v>111</v>
      </c>
      <c r="N4" s="66">
        <f>MIN(E8,1)</f>
        <v>0.54098648648648651</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2.9851027396854413E-2</v>
      </c>
      <c r="F5" s="26"/>
      <c r="H5" s="14">
        <f t="shared" ref="H5:H36" si="3">H4+1</f>
        <v>2019</v>
      </c>
      <c r="I5" s="79">
        <f>(I4*M5)+I4</f>
        <v>5771.923665168958</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2.9851027396854413E-2</v>
      </c>
      <c r="N5" s="71">
        <f t="shared" ref="N5:N11" si="6">N4*(1+IFERROR(_2018_2025_V_C_Growth,_2018_2045_V_C_Growth))</f>
        <v>0.55713548891592257</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1.8251071559564291E-2</v>
      </c>
      <c r="F6" s="26"/>
      <c r="H6" s="49">
        <f t="shared" si="3"/>
        <v>2020</v>
      </c>
      <c r="I6" s="79">
        <f t="shared" ref="I6:I36" si="10">(I5*M6)+I5</f>
        <v>5944.2215166304686</v>
      </c>
      <c r="J6" s="50">
        <f t="shared" si="4"/>
        <v>0</v>
      </c>
      <c r="K6" s="50">
        <f>IF(H6=Year_Open_to_Traffic?,Calculations!$E$4,K5+(K5*M6))</f>
        <v>0</v>
      </c>
      <c r="L6" s="50">
        <f>IF(AND(H6&gt;=Year_Open_to_Traffic?, Calculations!H6&lt;Year_Open_to_Traffic?+'Inputs &amp; Outputs'!B$21), 1, 0)</f>
        <v>0</v>
      </c>
      <c r="M6" s="65">
        <f t="shared" si="5"/>
        <v>2.9851027396854413E-2</v>
      </c>
      <c r="N6" s="71">
        <f t="shared" si="6"/>
        <v>0.57376655565931167</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2.1245861718549364E-2</v>
      </c>
      <c r="F7" s="26"/>
      <c r="H7" s="14">
        <f t="shared" si="3"/>
        <v>2021</v>
      </c>
      <c r="I7" s="79">
        <f t="shared" si="10"/>
        <v>6121.6626359763759</v>
      </c>
      <c r="J7" s="50">
        <f t="shared" si="4"/>
        <v>0</v>
      </c>
      <c r="K7" s="50">
        <f>IF(H7=Year_Open_to_Traffic?,Calculations!$E$4,K6+(K6*M7))</f>
        <v>0</v>
      </c>
      <c r="L7" s="50">
        <f>IF(AND(H7&gt;=Year_Open_to_Traffic?, Calculations!H7&lt;Year_Open_to_Traffic?+'Inputs &amp; Outputs'!B$21), 1, 0)</f>
        <v>0</v>
      </c>
      <c r="M7" s="65">
        <f t="shared" si="5"/>
        <v>2.9851027396854413E-2</v>
      </c>
      <c r="N7" s="71">
        <f t="shared" si="6"/>
        <v>0.59089407683169659</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0.54098648648648651</v>
      </c>
      <c r="F8" s="26"/>
      <c r="H8" s="49">
        <f t="shared" si="3"/>
        <v>2022</v>
      </c>
      <c r="I8" s="79">
        <f t="shared" si="10"/>
        <v>6304.4005550372067</v>
      </c>
      <c r="J8" s="50">
        <f t="shared" si="4"/>
        <v>0</v>
      </c>
      <c r="K8" s="50">
        <f>IF(H8=Year_Open_to_Traffic?,Calculations!$E$4,K7+(K7*M8))</f>
        <v>0</v>
      </c>
      <c r="L8" s="50">
        <f>IF(AND(H8&gt;=Year_Open_to_Traffic?, Calculations!H8&lt;Year_Open_to_Traffic?+'Inputs &amp; Outputs'!B$21), 1, 0)</f>
        <v>0</v>
      </c>
      <c r="M8" s="65">
        <f t="shared" si="5"/>
        <v>2.9851027396854413E-2</v>
      </c>
      <c r="N8" s="71">
        <f t="shared" si="6"/>
        <v>0.60853287210783857</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0.66467181467181469</v>
      </c>
      <c r="F9" s="26"/>
      <c r="H9" s="14">
        <f t="shared" si="3"/>
        <v>2023</v>
      </c>
      <c r="I9" s="79">
        <f t="shared" si="10"/>
        <v>6492.5933887263664</v>
      </c>
      <c r="J9" s="50">
        <f t="shared" si="4"/>
        <v>0</v>
      </c>
      <c r="K9" s="50">
        <f>IF(H9=Year_Open_to_Traffic?,Calculations!$E$4,K8+(K8*M9))</f>
        <v>0</v>
      </c>
      <c r="L9" s="50">
        <f>IF(AND(H9&gt;=Year_Open_to_Traffic?, Calculations!H9&lt;Year_Open_to_Traffic?+'Inputs &amp; Outputs'!B$21), 1, 0)</f>
        <v>0</v>
      </c>
      <c r="M9" s="65">
        <f t="shared" si="5"/>
        <v>2.9851027396854413E-2</v>
      </c>
      <c r="N9" s="71">
        <f t="shared" si="6"/>
        <v>0.62669820354501615</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0.95434362934362937</v>
      </c>
      <c r="F10" s="26"/>
      <c r="H10" s="49">
        <f t="shared" si="3"/>
        <v>2024</v>
      </c>
      <c r="I10" s="79">
        <f t="shared" si="10"/>
        <v>6686.4039718498734</v>
      </c>
      <c r="J10" s="50">
        <f t="shared" si="4"/>
        <v>0</v>
      </c>
      <c r="K10" s="50">
        <f>IF(H10=Year_Open_to_Traffic?,Calculations!$E$4,K9+(K9*M10))</f>
        <v>0</v>
      </c>
      <c r="L10" s="50">
        <f>IF(AND(H10&gt;=Year_Open_to_Traffic?, Calculations!H10&lt;Year_Open_to_Traffic?+'Inputs &amp; Outputs'!B$21), 1, 0)</f>
        <v>0</v>
      </c>
      <c r="M10" s="65">
        <f t="shared" si="5"/>
        <v>2.9851027396854413E-2</v>
      </c>
      <c r="N10" s="71">
        <f t="shared" si="6"/>
        <v>0.64540578878859789</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2.9851027396854413E-2</v>
      </c>
      <c r="F11" s="26"/>
      <c r="H11" s="14">
        <f t="shared" si="3"/>
        <v>2025</v>
      </c>
      <c r="I11" s="79">
        <f t="shared" si="10"/>
        <v>6886</v>
      </c>
      <c r="J11" s="50">
        <f t="shared" si="4"/>
        <v>55376.251162790701</v>
      </c>
      <c r="K11" s="50">
        <f>IF(H11=Year_Open_to_Traffic?,Calculations!$E$4,K10+(K10*M11))</f>
        <v>50864.112179155898</v>
      </c>
      <c r="L11" s="50">
        <f>IF(AND(H11&gt;=Year_Open_to_Traffic?, Calculations!H11&lt;Year_Open_to_Traffic?+'Inputs &amp; Outputs'!B$21), 1, 0)</f>
        <v>1</v>
      </c>
      <c r="M11" s="65">
        <f t="shared" si="5"/>
        <v>2.9851027396854413E-2</v>
      </c>
      <c r="N11" s="71">
        <f t="shared" si="6"/>
        <v>0.6646718146718148</v>
      </c>
      <c r="O11" s="72">
        <f t="shared" si="7"/>
        <v>1</v>
      </c>
      <c r="P11" s="68">
        <f t="shared" si="8"/>
        <v>4512.1389836348026</v>
      </c>
      <c r="Q11" s="69">
        <f t="shared" si="0"/>
        <v>1</v>
      </c>
      <c r="R11" s="70">
        <f t="shared" si="1"/>
        <v>20.787565583925574</v>
      </c>
      <c r="S11" s="77">
        <f t="shared" si="2"/>
        <v>130.37697521407307</v>
      </c>
      <c r="T11" s="64">
        <f t="shared" si="9"/>
        <v>81.192227662257736</v>
      </c>
      <c r="W11" s="58"/>
    </row>
    <row r="12" spans="1:24">
      <c r="A12" s="17" t="s">
        <v>123</v>
      </c>
      <c r="B12" s="18">
        <v>0.45</v>
      </c>
      <c r="D12" s="17" t="s">
        <v>124</v>
      </c>
      <c r="E12" s="39">
        <f>(E10/E9)^(1/(2045-2025))-1</f>
        <v>1.8251071559564291E-2</v>
      </c>
      <c r="F12" s="26"/>
      <c r="H12" s="49">
        <v>2026</v>
      </c>
      <c r="I12" s="79">
        <f t="shared" si="10"/>
        <v>7011.67687875916</v>
      </c>
      <c r="J12" s="50">
        <f t="shared" si="4"/>
        <v>56386.927085463198</v>
      </c>
      <c r="K12" s="50">
        <f>IF(H12=Year_Open_to_Traffic?,Calculations!$E$4,K11+(K11*M12))</f>
        <v>51792.436730351379</v>
      </c>
      <c r="L12" s="50">
        <f>IF(AND(H12&gt;=Year_Open_to_Traffic?, Calculations!H12&lt;Year_Open_to_Traffic?+'Inputs &amp; Outputs'!B$21), 1, 0)</f>
        <v>1</v>
      </c>
      <c r="M12" s="65">
        <f t="shared" ref="M12:M36" si="11">IFERROR(_2025_2045_Demand_Growth,_2018_2045_Demand_Growth)</f>
        <v>1.8251071559564291E-2</v>
      </c>
      <c r="N12" s="71">
        <f t="shared" ref="N12:N36" si="12">N11*(1+IFERROR(_2025_2045_V_C_Growth,_2018_2045_V_C_Growth))</f>
        <v>0.67680278752501555</v>
      </c>
      <c r="O12" s="72">
        <f t="shared" si="7"/>
        <v>1</v>
      </c>
      <c r="P12" s="68">
        <f t="shared" si="8"/>
        <v>4594.4903551118186</v>
      </c>
      <c r="Q12" s="69">
        <f t="shared" si="0"/>
        <v>1</v>
      </c>
      <c r="R12" s="70">
        <f t="shared" si="1"/>
        <v>21.265679592355859</v>
      </c>
      <c r="S12" s="77">
        <f t="shared" si="2"/>
        <v>135.80989409694831</v>
      </c>
      <c r="T12" s="64">
        <f t="shared" si="9"/>
        <v>79.042594854437581</v>
      </c>
      <c r="W12" s="58"/>
    </row>
    <row r="13" spans="1:24">
      <c r="A13" s="17" t="s">
        <v>55</v>
      </c>
      <c r="B13" s="18">
        <v>0.43</v>
      </c>
      <c r="D13" s="17" t="s">
        <v>125</v>
      </c>
      <c r="E13" s="39">
        <f>(E10/E8)^(1/(2045-2018))-1</f>
        <v>2.1245861718549364E-2</v>
      </c>
      <c r="F13" s="26"/>
      <c r="H13" s="14">
        <f t="shared" si="3"/>
        <v>2027</v>
      </c>
      <c r="I13" s="79">
        <f t="shared" si="10"/>
        <v>7139.6474952259359</v>
      </c>
      <c r="J13" s="50">
        <f t="shared" si="4"/>
        <v>57416.048926723917</v>
      </c>
      <c r="K13" s="50">
        <f>IF(H13=Year_Open_to_Traffic?,Calculations!$E$4,K12+(K12*M13))</f>
        <v>52737.704199361229</v>
      </c>
      <c r="L13" s="50">
        <f>IF(AND(H13&gt;=Year_Open_to_Traffic?, Calculations!H13&lt;Year_Open_to_Traffic?+'Inputs &amp; Outputs'!B$21), 1, 0)</f>
        <v>1</v>
      </c>
      <c r="M13" s="65">
        <f t="shared" si="11"/>
        <v>1.8251071559564291E-2</v>
      </c>
      <c r="N13" s="71">
        <f t="shared" si="12"/>
        <v>0.68915516363184715</v>
      </c>
      <c r="O13" s="72">
        <f t="shared" si="7"/>
        <v>1</v>
      </c>
      <c r="P13" s="68">
        <f t="shared" si="8"/>
        <v>4678.344727362688</v>
      </c>
      <c r="Q13" s="69">
        <f t="shared" si="0"/>
        <v>1</v>
      </c>
      <c r="R13" s="70">
        <f t="shared" si="1"/>
        <v>21.754790222980041</v>
      </c>
      <c r="S13" s="77">
        <f t="shared" si="2"/>
        <v>141.46920730703846</v>
      </c>
      <c r="T13" s="64">
        <f t="shared" si="9"/>
        <v>76.949875390930131</v>
      </c>
      <c r="W13" s="58"/>
    </row>
    <row r="14" spans="1:24">
      <c r="H14" s="49">
        <f>H13+1</f>
        <v>2028</v>
      </c>
      <c r="I14" s="79">
        <f t="shared" si="10"/>
        <v>7269.9537125713687</v>
      </c>
      <c r="J14" s="50">
        <f t="shared" si="4"/>
        <v>58463.953344353002</v>
      </c>
      <c r="K14" s="50">
        <f>IF(H14=Year_Open_to_Traffic?,Calculations!$E$4,K13+(K13*M14))</f>
        <v>53700.223812590906</v>
      </c>
      <c r="L14" s="50">
        <f>IF(AND(H14&gt;=Year_Open_to_Traffic?, Calculations!H14&lt;Year_Open_to_Traffic?+'Inputs &amp; Outputs'!B$21), 1, 0)</f>
        <v>1</v>
      </c>
      <c r="M14" s="65">
        <f t="shared" si="11"/>
        <v>1.8251071559564291E-2</v>
      </c>
      <c r="N14" s="71">
        <f t="shared" si="12"/>
        <v>0.70173298383893523</v>
      </c>
      <c r="O14" s="72">
        <f t="shared" si="7"/>
        <v>1</v>
      </c>
      <c r="P14" s="68">
        <f t="shared" si="8"/>
        <v>4763.7295317620956</v>
      </c>
      <c r="Q14" s="69">
        <f t="shared" si="0"/>
        <v>1</v>
      </c>
      <c r="R14" s="70">
        <f t="shared" si="1"/>
        <v>22.255150398108579</v>
      </c>
      <c r="S14" s="77">
        <f t="shared" si="2"/>
        <v>147.36434888753473</v>
      </c>
      <c r="T14" s="64">
        <f t="shared" si="9"/>
        <v>74.912562442871874</v>
      </c>
      <c r="W14" s="58"/>
    </row>
    <row r="15" spans="1:24">
      <c r="H15" s="14">
        <f t="shared" si="3"/>
        <v>2029</v>
      </c>
      <c r="I15" s="79">
        <f t="shared" si="10"/>
        <v>7402.6381580142288</v>
      </c>
      <c r="J15" s="50">
        <f t="shared" si="4"/>
        <v>59530.983140495817</v>
      </c>
      <c r="K15" s="50">
        <f>IF(H15=Year_Open_to_Traffic?,Calculations!$E$4,K14+(K14*M15))</f>
        <v>54680.310440159119</v>
      </c>
      <c r="L15" s="50">
        <f>IF(AND(H15&gt;=Year_Open_to_Traffic?, Calculations!H15&lt;Year_Open_to_Traffic?+'Inputs &amp; Outputs'!B$21), 1, 0)</f>
        <v>1</v>
      </c>
      <c r="M15" s="65">
        <f t="shared" si="11"/>
        <v>1.8251071559564291E-2</v>
      </c>
      <c r="N15" s="71">
        <f t="shared" si="12"/>
        <v>0.71454036274268617</v>
      </c>
      <c r="O15" s="72">
        <f t="shared" si="7"/>
        <v>1</v>
      </c>
      <c r="P15" s="68">
        <f t="shared" si="8"/>
        <v>4850.6727003366977</v>
      </c>
      <c r="Q15" s="69">
        <f t="shared" si="0"/>
        <v>1</v>
      </c>
      <c r="R15" s="70">
        <f t="shared" si="1"/>
        <v>22.767018857265079</v>
      </c>
      <c r="S15" s="77">
        <f t="shared" si="2"/>
        <v>153.50514600619124</v>
      </c>
      <c r="T15" s="64">
        <f t="shared" si="9"/>
        <v>72.929189075966178</v>
      </c>
      <c r="W15" s="58"/>
    </row>
    <row r="16" spans="1:24">
      <c r="H16" s="49">
        <f t="shared" si="3"/>
        <v>2030</v>
      </c>
      <c r="I16" s="79">
        <f t="shared" si="10"/>
        <v>7537.7442367657077</v>
      </c>
      <c r="J16" s="50">
        <f t="shared" si="4"/>
        <v>60617.487373804222</v>
      </c>
      <c r="K16" s="50">
        <f>IF(H16=Year_Open_to_Traffic?,Calculations!$E$4,K15+(K15*M16))</f>
        <v>55678.284698901654</v>
      </c>
      <c r="L16" s="50">
        <f>IF(AND(H16&gt;=Year_Open_to_Traffic?, Calculations!H16&lt;Year_Open_to_Traffic?+'Inputs &amp; Outputs'!B$21), 1, 0)</f>
        <v>1</v>
      </c>
      <c r="M16" s="65">
        <f t="shared" si="11"/>
        <v>1.8251071559564291E-2</v>
      </c>
      <c r="N16" s="71">
        <f t="shared" si="12"/>
        <v>0.72758149003529993</v>
      </c>
      <c r="O16" s="72">
        <f t="shared" si="7"/>
        <v>1</v>
      </c>
      <c r="P16" s="68">
        <f t="shared" si="8"/>
        <v>4939.2026749025681</v>
      </c>
      <c r="Q16" s="69">
        <f t="shared" si="0"/>
        <v>1</v>
      </c>
      <c r="R16" s="70">
        <f t="shared" si="1"/>
        <v>23.290660290982171</v>
      </c>
      <c r="S16" s="77">
        <f t="shared" si="2"/>
        <v>159.90183533715796</v>
      </c>
      <c r="T16" s="64">
        <f t="shared" si="9"/>
        <v>70.998327194240943</v>
      </c>
      <c r="W16" s="58"/>
    </row>
    <row r="17" spans="1:23">
      <c r="A17" s="27"/>
      <c r="H17" s="14">
        <f t="shared" si="3"/>
        <v>2031</v>
      </c>
      <c r="I17" s="79">
        <f t="shared" si="10"/>
        <v>7675.3161462286116</v>
      </c>
      <c r="J17" s="50">
        <f t="shared" si="4"/>
        <v>61723.821473624506</v>
      </c>
      <c r="K17" s="50">
        <f>IF(H17=Year_Open_to_Traffic?,Calculations!$E$4,K16+(K16*M17))</f>
        <v>56694.473057255105</v>
      </c>
      <c r="L17" s="50">
        <f>IF(AND(H17&gt;=Year_Open_to_Traffic?, Calculations!H17&lt;Year_Open_to_Traffic?+'Inputs &amp; Outputs'!B$21), 1, 0)</f>
        <v>1</v>
      </c>
      <c r="M17" s="65">
        <f t="shared" si="11"/>
        <v>1.8251071559564291E-2</v>
      </c>
      <c r="N17" s="71">
        <f t="shared" si="12"/>
        <v>0.74086063187534856</v>
      </c>
      <c r="O17" s="72">
        <f t="shared" si="7"/>
        <v>1</v>
      </c>
      <c r="P17" s="68">
        <f t="shared" si="8"/>
        <v>5029.3484163694011</v>
      </c>
      <c r="Q17" s="69">
        <f t="shared" si="0"/>
        <v>1</v>
      </c>
      <c r="R17" s="70">
        <f t="shared" si="1"/>
        <v>23.82634547767476</v>
      </c>
      <c r="S17" s="77">
        <f t="shared" si="2"/>
        <v>166.56508012545919</v>
      </c>
      <c r="T17" s="64">
        <f t="shared" si="9"/>
        <v>69.118586511771198</v>
      </c>
      <c r="W17" s="58"/>
    </row>
    <row r="18" spans="1:23">
      <c r="H18" s="49">
        <f t="shared" si="3"/>
        <v>2032</v>
      </c>
      <c r="I18" s="79">
        <f t="shared" si="10"/>
        <v>7815.3988904557091</v>
      </c>
      <c r="J18" s="50">
        <f t="shared" si="4"/>
        <v>62850.347356269398</v>
      </c>
      <c r="K18" s="50">
        <f>IF(H18=Year_Open_to_Traffic?,Calculations!$E$4,K17+(K17*M18))</f>
        <v>57729.207942054854</v>
      </c>
      <c r="L18" s="50">
        <f>IF(AND(H18&gt;=Year_Open_to_Traffic?, Calculations!H18&lt;Year_Open_to_Traffic?+'Inputs &amp; Outputs'!B$21), 1, 0)</f>
        <v>1</v>
      </c>
      <c r="M18" s="65">
        <f t="shared" si="11"/>
        <v>1.8251071559564291E-2</v>
      </c>
      <c r="N18" s="71">
        <f t="shared" si="12"/>
        <v>0.75438213228336959</v>
      </c>
      <c r="O18" s="72">
        <f t="shared" si="7"/>
        <v>1</v>
      </c>
      <c r="P18" s="68">
        <f t="shared" si="8"/>
        <v>5121.1394142145436</v>
      </c>
      <c r="Q18" s="69">
        <f t="shared" si="0"/>
        <v>1</v>
      </c>
      <c r="R18" s="70">
        <f t="shared" si="1"/>
        <v>24.374351423661277</v>
      </c>
      <c r="S18" s="77">
        <f t="shared" si="2"/>
        <v>173.50598796256313</v>
      </c>
      <c r="T18" s="64">
        <f t="shared" si="9"/>
        <v>67.288613551626412</v>
      </c>
      <c r="W18" s="58"/>
    </row>
    <row r="19" spans="1:23">
      <c r="H19" s="14">
        <f t="shared" si="3"/>
        <v>2033</v>
      </c>
      <c r="I19" s="79">
        <f t="shared" si="10"/>
        <v>7958.0382948719553</v>
      </c>
      <c r="J19" s="50">
        <f t="shared" si="4"/>
        <v>63997.433543412146</v>
      </c>
      <c r="K19" s="50">
        <f>IF(H19=Year_Open_to_Traffic?,Calculations!$E$4,K18+(K18*M19))</f>
        <v>58782.827847282264</v>
      </c>
      <c r="L19" s="50">
        <f>IF(AND(H19&gt;=Year_Open_to_Traffic?, Calculations!H19&lt;Year_Open_to_Traffic?+'Inputs &amp; Outputs'!B$21), 1, 0)</f>
        <v>1</v>
      </c>
      <c r="M19" s="65">
        <f t="shared" si="11"/>
        <v>1.8251071559564291E-2</v>
      </c>
      <c r="N19" s="71">
        <f t="shared" si="12"/>
        <v>0.7681504145629301</v>
      </c>
      <c r="O19" s="72">
        <f t="shared" si="7"/>
        <v>1</v>
      </c>
      <c r="P19" s="68">
        <f t="shared" si="8"/>
        <v>5214.6056961298818</v>
      </c>
      <c r="Q19" s="69">
        <f t="shared" si="0"/>
        <v>1</v>
      </c>
      <c r="R19" s="70">
        <f t="shared" si="1"/>
        <v>24.934961506405479</v>
      </c>
      <c r="S19" s="77">
        <f t="shared" si="2"/>
        <v>180.73612930267308</v>
      </c>
      <c r="T19" s="64">
        <f t="shared" si="9"/>
        <v>65.507090671320697</v>
      </c>
      <c r="W19" s="58"/>
    </row>
    <row r="20" spans="1:23">
      <c r="H20" s="49">
        <f t="shared" si="3"/>
        <v>2034</v>
      </c>
      <c r="I20" s="79">
        <f t="shared" si="10"/>
        <v>8103.2810212654167</v>
      </c>
      <c r="J20" s="50">
        <f t="shared" si="4"/>
        <v>65165.455282641422</v>
      </c>
      <c r="K20" s="50">
        <f>IF(H20=Year_Open_to_Traffic?,Calculations!$E$4,K19+(K19*M20))</f>
        <v>59855.677444796558</v>
      </c>
      <c r="L20" s="50">
        <f>IF(AND(H20&gt;=Year_Open_to_Traffic?, Calculations!H20&lt;Year_Open_to_Traffic?+'Inputs &amp; Outputs'!B$21), 1, 0)</f>
        <v>1</v>
      </c>
      <c r="M20" s="65">
        <f t="shared" si="11"/>
        <v>1.8251071559564291E-2</v>
      </c>
      <c r="N20" s="71">
        <f t="shared" si="12"/>
        <v>0.78216998274762706</v>
      </c>
      <c r="O20" s="72">
        <f t="shared" si="7"/>
        <v>1</v>
      </c>
      <c r="P20" s="68">
        <f t="shared" si="8"/>
        <v>5309.7778378448638</v>
      </c>
      <c r="Q20" s="69">
        <f t="shared" si="0"/>
        <v>1</v>
      </c>
      <c r="R20" s="70">
        <f t="shared" si="1"/>
        <v>25.508465621052807</v>
      </c>
      <c r="S20" s="77">
        <f t="shared" si="2"/>
        <v>188.2675567506104</v>
      </c>
      <c r="T20" s="64">
        <f t="shared" si="9"/>
        <v>63.77273511406618</v>
      </c>
      <c r="W20" s="58"/>
    </row>
    <row r="21" spans="1:23">
      <c r="H21" s="14">
        <f t="shared" si="3"/>
        <v>2035</v>
      </c>
      <c r="I21" s="79">
        <f t="shared" si="10"/>
        <v>8251.1745830517903</v>
      </c>
      <c r="J21" s="50">
        <f t="shared" si="4"/>
        <v>66354.794670216492</v>
      </c>
      <c r="K21" s="50">
        <f>IF(H21=Year_Open_to_Traffic?,Calculations!$E$4,K20+(K20*M21))</f>
        <v>60948.10769708774</v>
      </c>
      <c r="L21" s="50">
        <f>IF(AND(H21&gt;=Year_Open_to_Traffic?, Calculations!H21&lt;Year_Open_to_Traffic?+'Inputs &amp; Outputs'!B$21), 1, 0)</f>
        <v>1</v>
      </c>
      <c r="M21" s="65">
        <f t="shared" si="11"/>
        <v>1.8251071559564291E-2</v>
      </c>
      <c r="N21" s="71">
        <f t="shared" si="12"/>
        <v>0.79644542307449717</v>
      </c>
      <c r="O21" s="72">
        <f t="shared" si="7"/>
        <v>1</v>
      </c>
      <c r="P21" s="68">
        <f t="shared" si="8"/>
        <v>5406.6869731287516</v>
      </c>
      <c r="Q21" s="69">
        <f t="shared" si="0"/>
        <v>1</v>
      </c>
      <c r="R21" s="70">
        <f t="shared" si="1"/>
        <v>26.095160330337016</v>
      </c>
      <c r="S21" s="77">
        <f t="shared" si="2"/>
        <v>196.11282515343765</v>
      </c>
      <c r="T21" s="64">
        <f t="shared" si="9"/>
        <v>62.084298085144134</v>
      </c>
      <c r="W21" s="58"/>
    </row>
    <row r="22" spans="1:23">
      <c r="H22" s="49">
        <f>H21+1</f>
        <v>2036</v>
      </c>
      <c r="I22" s="79">
        <f t="shared" si="10"/>
        <v>8401.7673608175264</v>
      </c>
      <c r="J22" s="50">
        <f t="shared" si="4"/>
        <v>67565.840776062803</v>
      </c>
      <c r="K22" s="50">
        <f>IF(H22=Year_Open_to_Traffic?,Calculations!$E$4,K21+(K21*M22))</f>
        <v>62060.475972087319</v>
      </c>
      <c r="L22" s="50">
        <f>IF(AND(H22&gt;=Year_Open_to_Traffic?, Calculations!H22&lt;Year_Open_to_Traffic?+'Inputs &amp; Outputs'!B$21), 1, 0)</f>
        <v>1</v>
      </c>
      <c r="M22" s="65">
        <f t="shared" si="11"/>
        <v>1.8251071559564291E-2</v>
      </c>
      <c r="N22" s="71">
        <f t="shared" si="12"/>
        <v>0.8109814054843173</v>
      </c>
      <c r="O22" s="72">
        <f t="shared" si="7"/>
        <v>1</v>
      </c>
      <c r="P22" s="68">
        <f t="shared" si="8"/>
        <v>5505.3648039754844</v>
      </c>
      <c r="Q22" s="69">
        <f t="shared" si="0"/>
        <v>1</v>
      </c>
      <c r="R22" s="70">
        <f t="shared" si="1"/>
        <v>26.695349017934767</v>
      </c>
      <c r="S22" s="77">
        <f t="shared" si="2"/>
        <v>204.2850125293196</v>
      </c>
      <c r="T22" s="64">
        <f t="shared" si="9"/>
        <v>60.440563852731266</v>
      </c>
      <c r="W22" s="58"/>
    </row>
    <row r="23" spans="1:23">
      <c r="H23" s="14">
        <f t="shared" si="3"/>
        <v>2037</v>
      </c>
      <c r="I23" s="79">
        <f t="shared" si="10"/>
        <v>8555.108618146618</v>
      </c>
      <c r="J23" s="50">
        <f t="shared" si="4"/>
        <v>68798.989771048859</v>
      </c>
      <c r="K23" s="50">
        <f>IF(H23=Year_Open_to_Traffic?,Calculations!$E$4,K22+(K22*M23))</f>
        <v>63193.146160074502</v>
      </c>
      <c r="L23" s="50">
        <f>IF(AND(H23&gt;=Year_Open_to_Traffic?, Calculations!H23&lt;Year_Open_to_Traffic?+'Inputs &amp; Outputs'!B$21), 1, 0)</f>
        <v>1</v>
      </c>
      <c r="M23" s="65">
        <f t="shared" si="11"/>
        <v>1.8251071559564291E-2</v>
      </c>
      <c r="N23" s="71">
        <f t="shared" si="12"/>
        <v>0.82578268514928754</v>
      </c>
      <c r="O23" s="72">
        <f t="shared" si="7"/>
        <v>1</v>
      </c>
      <c r="P23" s="68">
        <f t="shared" si="8"/>
        <v>5605.8436109743561</v>
      </c>
      <c r="Q23" s="69">
        <f t="shared" si="0"/>
        <v>1</v>
      </c>
      <c r="R23" s="70">
        <f t="shared" si="1"/>
        <v>27.309342045347261</v>
      </c>
      <c r="S23" s="77">
        <f t="shared" si="2"/>
        <v>212.79774186850437</v>
      </c>
      <c r="T23" s="64">
        <f t="shared" si="9"/>
        <v>58.840348872531067</v>
      </c>
      <c r="W23" s="58"/>
    </row>
    <row r="24" spans="1:23">
      <c r="H24" s="49">
        <f t="shared" si="3"/>
        <v>2038</v>
      </c>
      <c r="I24" s="79">
        <f t="shared" si="10"/>
        <v>8711.2485177362578</v>
      </c>
      <c r="J24" s="50">
        <f t="shared" si="4"/>
        <v>70054.645056586</v>
      </c>
      <c r="K24" s="50">
        <f>IF(H24=Year_Open_to_Traffic?,Calculations!$E$4,K23+(K23*M24))</f>
        <v>64346.488792716031</v>
      </c>
      <c r="L24" s="50">
        <f>IF(AND(H24&gt;=Year_Open_to_Traffic?, Calculations!H24&lt;Year_Open_to_Traffic?+'Inputs &amp; Outputs'!B$21), 1, 0)</f>
        <v>1</v>
      </c>
      <c r="M24" s="65">
        <f t="shared" si="11"/>
        <v>1.8251071559564291E-2</v>
      </c>
      <c r="N24" s="71">
        <f t="shared" si="12"/>
        <v>0.84085410402859639</v>
      </c>
      <c r="O24" s="72">
        <f t="shared" si="7"/>
        <v>1</v>
      </c>
      <c r="P24" s="68">
        <f>(J24-K24)*L24</f>
        <v>5708.1562638699688</v>
      </c>
      <c r="Q24" s="69">
        <f t="shared" si="0"/>
        <v>1</v>
      </c>
      <c r="R24" s="70">
        <f t="shared" si="1"/>
        <v>27.93745691239025</v>
      </c>
      <c r="S24" s="77">
        <f t="shared" si="2"/>
        <v>221.66520384277024</v>
      </c>
      <c r="T24" s="64">
        <f t="shared" si="9"/>
        <v>57.282500935581623</v>
      </c>
      <c r="W24" s="58"/>
    </row>
    <row r="25" spans="1:23">
      <c r="H25" s="14">
        <f t="shared" si="3"/>
        <v>2039</v>
      </c>
      <c r="I25" s="79">
        <f t="shared" si="10"/>
        <v>8870.2381378066111</v>
      </c>
      <c r="J25" s="50">
        <f t="shared" si="4"/>
        <v>71333.217396593624</v>
      </c>
      <c r="K25" s="50">
        <f>IF(H25=Year_Open_to_Traffic?,Calculations!$E$4,K24+(K24*M25))</f>
        <v>65520.881164278595</v>
      </c>
      <c r="L25" s="50">
        <f>IF(AND(H25&gt;=Year_Open_to_Traffic?, Calculations!H25&lt;Year_Open_to_Traffic?+'Inputs &amp; Outputs'!B$21), 1, 0)</f>
        <v>1</v>
      </c>
      <c r="M25" s="65">
        <f t="shared" si="11"/>
        <v>1.8251071559564291E-2</v>
      </c>
      <c r="N25" s="71">
        <f t="shared" si="12"/>
        <v>0.85620059245237568</v>
      </c>
      <c r="O25" s="72">
        <f t="shared" si="7"/>
        <v>1</v>
      </c>
      <c r="P25" s="68">
        <f t="shared" si="8"/>
        <v>5812.3362323150286</v>
      </c>
      <c r="Q25" s="69">
        <f t="shared" si="0"/>
        <v>1</v>
      </c>
      <c r="R25" s="70">
        <f t="shared" si="1"/>
        <v>28.580018421375218</v>
      </c>
      <c r="S25" s="77">
        <f t="shared" si="2"/>
        <v>230.90218046119827</v>
      </c>
      <c r="T25" s="64">
        <f t="shared" si="9"/>
        <v>55.765898338626926</v>
      </c>
      <c r="W25" s="58"/>
    </row>
    <row r="26" spans="1:23">
      <c r="H26" s="49">
        <f t="shared" si="3"/>
        <v>2040</v>
      </c>
      <c r="I26" s="79">
        <f t="shared" si="10"/>
        <v>9032.1294888100965</v>
      </c>
      <c r="J26" s="50">
        <f t="shared" si="4"/>
        <v>72635.125051872805</v>
      </c>
      <c r="K26" s="50">
        <f>IF(H26=Year_Open_to_Traffic?,Calculations!$E$4,K25+(K25*M26))</f>
        <v>66716.707455053547</v>
      </c>
      <c r="L26" s="50">
        <f>IF(AND(H26&gt;=Year_Open_to_Traffic?, Calculations!H26&lt;Year_Open_to_Traffic?+'Inputs &amp; Outputs'!B$21), 1, 0)</f>
        <v>1</v>
      </c>
      <c r="M26" s="65">
        <f t="shared" si="11"/>
        <v>1.8251071559564291E-2</v>
      </c>
      <c r="N26" s="71">
        <f t="shared" si="12"/>
        <v>0.87182717073456528</v>
      </c>
      <c r="O26" s="72">
        <f t="shared" si="7"/>
        <v>1</v>
      </c>
      <c r="P26" s="68">
        <f t="shared" si="8"/>
        <v>5918.4175968192576</v>
      </c>
      <c r="Q26" s="69">
        <f t="shared" si="0"/>
        <v>1</v>
      </c>
      <c r="R26" s="70">
        <f t="shared" si="1"/>
        <v>29.237358845066851</v>
      </c>
      <c r="S26" s="77">
        <f t="shared" si="2"/>
        <v>240.52406971169628</v>
      </c>
      <c r="T26" s="64">
        <f t="shared" si="9"/>
        <v>54.289449076452087</v>
      </c>
      <c r="W26" s="58"/>
    </row>
    <row r="27" spans="1:23">
      <c r="H27" s="14">
        <f t="shared" si="3"/>
        <v>2041</v>
      </c>
      <c r="I27" s="79">
        <f t="shared" si="10"/>
        <v>9196.9755304456212</v>
      </c>
      <c r="J27" s="50">
        <f t="shared" si="4"/>
        <v>73960.793916932438</v>
      </c>
      <c r="K27" s="50">
        <f>IF(H27=Year_Open_to_Traffic?,Calculations!$E$4,K26+(K26*M27))</f>
        <v>67934.35885703424</v>
      </c>
      <c r="L27" s="50">
        <f>IF(AND(H27&gt;=Year_Open_to_Traffic?, Calculations!H27&lt;Year_Open_to_Traffic?+'Inputs &amp; Outputs'!B$21), 1, 0)</f>
        <v>1</v>
      </c>
      <c r="M27" s="65">
        <f t="shared" si="11"/>
        <v>1.8251071559564291E-2</v>
      </c>
      <c r="N27" s="71">
        <f t="shared" si="12"/>
        <v>0.88773895081521426</v>
      </c>
      <c r="O27" s="72">
        <f t="shared" si="7"/>
        <v>1</v>
      </c>
      <c r="P27" s="68">
        <f t="shared" si="8"/>
        <v>6026.4350598981982</v>
      </c>
      <c r="Q27" s="69">
        <f t="shared" si="0"/>
        <v>1</v>
      </c>
      <c r="R27" s="70">
        <f t="shared" si="1"/>
        <v>29.909818098503379</v>
      </c>
      <c r="S27" s="77">
        <f t="shared" si="2"/>
        <v>250.54691122935779</v>
      </c>
      <c r="T27" s="64">
        <f t="shared" si="9"/>
        <v>52.852090055602552</v>
      </c>
      <c r="W27" s="58"/>
    </row>
    <row r="28" spans="1:23">
      <c r="H28" s="49">
        <f t="shared" si="3"/>
        <v>2042</v>
      </c>
      <c r="I28" s="79">
        <f t="shared" si="10"/>
        <v>9364.8301889833456</v>
      </c>
      <c r="J28" s="50">
        <f t="shared" si="4"/>
        <v>75310.657659312565</v>
      </c>
      <c r="K28" s="50">
        <f>IF(H28=Year_Open_to_Traffic?,Calculations!$E$4,K27+(K27*M28))</f>
        <v>69174.233701887089</v>
      </c>
      <c r="L28" s="50">
        <f>IF(AND(H28&gt;=Year_Open_to_Traffic?, Calculations!H28&lt;Year_Open_to_Traffic?+'Inputs &amp; Outputs'!B$21), 1, 0)</f>
        <v>1</v>
      </c>
      <c r="M28" s="65">
        <f t="shared" si="11"/>
        <v>1.8251071559564291E-2</v>
      </c>
      <c r="N28" s="71">
        <f t="shared" si="12"/>
        <v>0.90394113793275521</v>
      </c>
      <c r="O28" s="72">
        <f t="shared" si="7"/>
        <v>1</v>
      </c>
      <c r="P28" s="68">
        <f t="shared" si="8"/>
        <v>6136.4239574254752</v>
      </c>
      <c r="Q28" s="69">
        <f t="shared" si="0"/>
        <v>1</v>
      </c>
      <c r="R28" s="70">
        <f t="shared" si="1"/>
        <v>30.597743914768959</v>
      </c>
      <c r="S28" s="77">
        <f t="shared" si="2"/>
        <v>260.98741303444331</v>
      </c>
      <c r="T28" s="64">
        <f t="shared" si="9"/>
        <v>51.452786328920936</v>
      </c>
      <c r="W28" s="58"/>
    </row>
    <row r="29" spans="1:23">
      <c r="H29" s="14">
        <f t="shared" si="3"/>
        <v>2043</v>
      </c>
      <c r="I29" s="79">
        <f t="shared" si="10"/>
        <v>9535.7483749056482</v>
      </c>
      <c r="J29" s="50">
        <f t="shared" si="4"/>
        <v>76685.157861450527</v>
      </c>
      <c r="K29" s="50">
        <f>IF(H29=Year_Open_to_Traffic?,Calculations!$E$4,K28+(K28*M29))</f>
        <v>70436.73759125825</v>
      </c>
      <c r="L29" s="50">
        <f>IF(AND(H29&gt;=Year_Open_to_Traffic?, Calculations!H29&lt;Year_Open_to_Traffic?+'Inputs &amp; Outputs'!B$21), 1, 0)</f>
        <v>1</v>
      </c>
      <c r="M29" s="65">
        <f t="shared" si="11"/>
        <v>1.8251071559564291E-2</v>
      </c>
      <c r="N29" s="71">
        <f t="shared" si="12"/>
        <v>0.92043903232679991</v>
      </c>
      <c r="O29" s="72">
        <f t="shared" si="7"/>
        <v>1</v>
      </c>
      <c r="P29" s="68">
        <f t="shared" si="8"/>
        <v>6248.4202701922768</v>
      </c>
      <c r="Q29" s="69">
        <f t="shared" si="0"/>
        <v>1</v>
      </c>
      <c r="R29" s="70">
        <f t="shared" si="1"/>
        <v>31.301492024808638</v>
      </c>
      <c r="S29" s="77">
        <f t="shared" si="2"/>
        <v>271.8629793845559</v>
      </c>
      <c r="T29" s="64">
        <f t="shared" si="9"/>
        <v>50.090530350350001</v>
      </c>
      <c r="W29" s="58"/>
    </row>
    <row r="30" spans="1:23">
      <c r="H30" s="14">
        <f t="shared" si="3"/>
        <v>2044</v>
      </c>
      <c r="I30" s="79">
        <f t="shared" si="10"/>
        <v>9709.78600087005</v>
      </c>
      <c r="J30" s="50">
        <f t="shared" si="4"/>
        <v>78084.744165136348</v>
      </c>
      <c r="K30" s="50">
        <f>IF(H30=Year_Open_to_Traffic?,Calculations!$E$4,K29+(K29*M30))</f>
        <v>71722.283529458553</v>
      </c>
      <c r="L30" s="50">
        <f>IF(AND(H30&gt;=Year_Open_to_Traffic?, Calculations!H30&lt;Year_Open_to_Traffic?+'Inputs &amp; Outputs'!B$21), 1, 0)</f>
        <v>1</v>
      </c>
      <c r="M30" s="65">
        <f t="shared" si="11"/>
        <v>1.8251071559564291E-2</v>
      </c>
      <c r="N30" s="71">
        <f t="shared" si="12"/>
        <v>0.93723803097201241</v>
      </c>
      <c r="O30" s="72">
        <f t="shared" si="7"/>
        <v>1</v>
      </c>
      <c r="P30" s="68">
        <f t="shared" si="8"/>
        <v>6362.4606356777949</v>
      </c>
      <c r="Q30" s="69">
        <f t="shared" si="0"/>
        <v>1</v>
      </c>
      <c r="R30" s="70">
        <f t="shared" si="1"/>
        <v>32.021426341379232</v>
      </c>
      <c r="S30" s="77">
        <f t="shared" si="2"/>
        <v>283.19173978744112</v>
      </c>
      <c r="T30" s="64">
        <f t="shared" si="9"/>
        <v>48.764341249465531</v>
      </c>
      <c r="W30" s="58"/>
    </row>
    <row r="31" spans="1:23">
      <c r="H31" s="14">
        <f t="shared" si="3"/>
        <v>2045</v>
      </c>
      <c r="I31" s="79">
        <f t="shared" si="10"/>
        <v>9886.9999999999854</v>
      </c>
      <c r="J31" s="50">
        <f t="shared" si="4"/>
        <v>79509.874418604522</v>
      </c>
      <c r="K31" s="50">
        <f>IF(H31=Year_Open_to_Traffic?,Calculations!$E$4,K30+(K30*M31))</f>
        <v>73031.292058570063</v>
      </c>
      <c r="L31" s="50">
        <f>IF(AND(H31&gt;=Year_Open_to_Traffic?, Calculations!H31&lt;Year_Open_to_Traffic?+'Inputs &amp; Outputs'!B$21), 1, 0)</f>
        <v>0</v>
      </c>
      <c r="M31" s="65">
        <f t="shared" si="11"/>
        <v>1.8251071559564291E-2</v>
      </c>
      <c r="N31" s="71">
        <f t="shared" si="12"/>
        <v>0.95434362934362771</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10067.448344509397</v>
      </c>
      <c r="J32" s="50">
        <f t="shared" si="4"/>
        <v>80961.014826310449</v>
      </c>
      <c r="K32" s="50">
        <f>IF(H32=Year_Open_to_Traffic?,Calculations!$E$4,K31+(K31*M32))</f>
        <v>74364.191396018461</v>
      </c>
      <c r="L32" s="50">
        <f>IF(AND(H32&gt;=Year_Open_to_Traffic?, Calculations!H32&lt;Year_Open_to_Traffic?+'Inputs &amp; Outputs'!B$21), 1, 0)</f>
        <v>0</v>
      </c>
      <c r="M32" s="65">
        <f t="shared" si="11"/>
        <v>1.8251071559564291E-2</v>
      </c>
      <c r="N32" s="71">
        <f t="shared" si="12"/>
        <v>0.97176142321519254</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10251.190064667255</v>
      </c>
      <c r="J33" s="50">
        <f t="shared" si="4"/>
        <v>82438.640101440382</v>
      </c>
      <c r="K33" s="50">
        <f>IF(H33=Year_Open_to_Traffic?,Calculations!$E$4,K32+(K32*M33))</f>
        <v>75721.417574656327</v>
      </c>
      <c r="L33" s="50">
        <f>IF(AND(H33&gt;=Year_Open_to_Traffic?, Calculations!H33&lt;Year_Open_to_Traffic?+'Inputs &amp; Outputs'!B$21), 1, 0)</f>
        <v>0</v>
      </c>
      <c r="M33" s="65">
        <f t="shared" si="11"/>
        <v>1.8251071559564291E-2</v>
      </c>
      <c r="N33" s="71">
        <f t="shared" si="12"/>
        <v>0.98949711048911704</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10438.285268108191</v>
      </c>
      <c r="J34" s="50">
        <f t="shared" si="4"/>
        <v>83943.233621204941</v>
      </c>
      <c r="K34" s="50">
        <f>IF(H34=Year_Open_to_Traffic?,Calculations!$E$4,K33+(K33*M34))</f>
        <v>77103.414585403036</v>
      </c>
      <c r="L34" s="50">
        <f>IF(AND(H34&gt;=Year_Open_to_Traffic?, Calculations!H34&lt;Year_Open_to_Traffic?+'Inputs &amp; Outputs'!B$21), 1, 0)</f>
        <v>0</v>
      </c>
      <c r="M34" s="65">
        <f t="shared" si="11"/>
        <v>1.8251071559564291E-2</v>
      </c>
      <c r="N34" s="71">
        <f t="shared" si="12"/>
        <v>1.007556493060636</v>
      </c>
      <c r="O34" s="72">
        <f t="shared" si="7"/>
        <v>0</v>
      </c>
      <c r="P34" s="68">
        <f t="shared" si="8"/>
        <v>0</v>
      </c>
      <c r="Q34" s="69">
        <f t="shared" si="0"/>
        <v>0</v>
      </c>
      <c r="R34" s="70">
        <f t="shared" si="1"/>
        <v>35.070600951678806</v>
      </c>
      <c r="S34" s="77">
        <f t="shared" si="2"/>
        <v>0</v>
      </c>
      <c r="T34" s="64">
        <f t="shared" si="9"/>
        <v>0</v>
      </c>
      <c r="W34" s="58"/>
    </row>
    <row r="35" spans="8:23">
      <c r="H35" s="14">
        <f t="shared" si="3"/>
        <v>2049</v>
      </c>
      <c r="I35" s="79">
        <f t="shared" si="10"/>
        <v>10628.795159495579</v>
      </c>
      <c r="J35" s="50">
        <f t="shared" si="4"/>
        <v>85475.287584966776</v>
      </c>
      <c r="K35" s="50">
        <f>IF(H35=Year_Open_to_Traffic?,Calculations!$E$4,K34+(K34*M35))</f>
        <v>78510.634522487977</v>
      </c>
      <c r="L35" s="50">
        <f>IF(AND(H35&gt;=Year_Open_to_Traffic?, Calculations!H35&lt;Year_Open_to_Traffic?+'Inputs &amp; Outputs'!B$21), 1, 0)</f>
        <v>0</v>
      </c>
      <c r="M35" s="65">
        <f t="shared" si="11"/>
        <v>1.8251071559564291E-2</v>
      </c>
      <c r="N35" s="71">
        <f t="shared" si="12"/>
        <v>1.0259454787157893</v>
      </c>
      <c r="O35" s="72">
        <f t="shared" si="7"/>
        <v>0</v>
      </c>
      <c r="P35" s="68">
        <f t="shared" si="8"/>
        <v>0</v>
      </c>
      <c r="Q35" s="69">
        <f t="shared" si="0"/>
        <v>0</v>
      </c>
      <c r="R35" s="70">
        <f t="shared" si="1"/>
        <v>35.877224773567399</v>
      </c>
      <c r="S35" s="77">
        <f t="shared" si="2"/>
        <v>0</v>
      </c>
      <c r="T35" s="64">
        <f t="shared" si="9"/>
        <v>0</v>
      </c>
      <c r="W35" s="58"/>
    </row>
    <row r="36" spans="8:23">
      <c r="H36" s="14">
        <f t="shared" si="3"/>
        <v>2050</v>
      </c>
      <c r="I36" s="79">
        <f t="shared" si="10"/>
        <v>10822.782060543484</v>
      </c>
      <c r="J36" s="50">
        <f t="shared" si="4"/>
        <v>87035.303175254347</v>
      </c>
      <c r="K36" s="50">
        <f>IF(H36=Year_Open_to_Traffic?,Calculations!$E$4,K35+(K35*M36))</f>
        <v>79943.53773134471</v>
      </c>
      <c r="L36" s="50">
        <f>IF(AND(H36&gt;=Year_Open_to_Traffic?, Calculations!H36&lt;Year_Open_to_Traffic?+'Inputs &amp; Outputs'!B$21), 1, 0)</f>
        <v>0</v>
      </c>
      <c r="M36" s="65">
        <f t="shared" si="11"/>
        <v>1.8251071559564291E-2</v>
      </c>
      <c r="N36" s="71">
        <f t="shared" si="12"/>
        <v>1.0446700830640427</v>
      </c>
      <c r="O36" s="72">
        <f t="shared" si="7"/>
        <v>0</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1273.5746096148953</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52</v>
      </c>
      <c r="N6" s="44" t="s">
        <v>55</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916848-7CFA-4D7D-8973-7F8C90B74A09}"/>
</file>

<file path=customXml/itemProps2.xml><?xml version="1.0" encoding="utf-8"?>
<ds:datastoreItem xmlns:ds="http://schemas.openxmlformats.org/officeDocument/2006/customXml" ds:itemID="{F4E23949-4AFE-44D4-B8BB-7918D64556A6}"/>
</file>

<file path=customXml/itemProps3.xml><?xml version="1.0" encoding="utf-8"?>
<ds:datastoreItem xmlns:ds="http://schemas.openxmlformats.org/officeDocument/2006/customXml" ds:itemID="{4D7CE00D-C546-4839-81F4-A4162490BC2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