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<sst xmlns="http://schemas.openxmlformats.org/spreadsheetml/2006/main" count="291" uniqueCount="237">
  <si>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</si>
  <si>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</si>
  <si>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</si>
  <si>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</si>
  <si>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</si>
  <si>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</si>
  <si>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</si>
  <si>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</si>
  <si>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</si>
  <si>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</si>
  <si>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</si>
  <si>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</si>
  <si>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</si>
  <si>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</si>
  <si>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</si>
  <si>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</si>
  <si>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</si>
  <si>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</si>
  <si>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</si>
  <si>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</si>
  <si>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</si>
  <si>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</si>
  <si>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</si>
  <si>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</si>
  <si>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</si>
  <si>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</si>
  <si>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</si>
  <si>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</si>
  <si>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</si>
  <si>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</si>
  <si>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</si>
  <si>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</si>
  <si>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</si>
  <si>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</si>
  <si>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</si>
  <si>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</si>
  <si>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</si>
  <si>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</si>
  <si>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</si>
  <si>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</si>
  <si>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</si>
  <si>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</si>
  <si>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</si>
  <si>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</si>
  <si>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</si>
  <si>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</si>
  <si>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</si>
  <si>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</si>
  <si>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</si>
  <si>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</si>
  <si>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</si>
  <si>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</si>
  <si>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</si>
  <si>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</si>
  <si>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</si>
  <si>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</si>
  <si>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</si>
  <si>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</si>
  <si>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</si>
  <si>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</si>
  <si>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</si>
  <si>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</si>
  <si>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</si>
  <si>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</si>
  <si>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</si>
  <si>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</si>
  <si>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</si>
  <si>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</si>
  <si>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</si>
  <si>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</si>
  <si>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</si>
  <si>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</si>
  <si>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</si>
  <si>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</si>
  <si>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</si>
  <si>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</si>
  <si>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</si>
  <si>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</si>
  <si>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</si>
  <si>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</si>
  <si>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</si>
  <si>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</si>
  <si>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</si>
  <si>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</si>
  <si>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</si>
  <si>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</si>
  <si>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</si>
  <si>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</si>
  <si>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</si>
  <si>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</si>
  <si>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</si>
  <si>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</si>
  <si>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</si>
  <si>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</si>
  <si>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</si>
  <si>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</si>
  <si>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</si>
  <si>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</si>
  <si>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</si>
  <si>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</si>
  <si>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</si>
  <si>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</si>
  <si>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</si>
  <si>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</si>
  <si>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</si>
  <si>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</si>
  <si>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</si>
  <si>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</si>
  <si>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</si>
  <si>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</si>
  <si>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</si>
  <si>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</si>
  <si>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</si>
  <si>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</si>
  <si>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</si>
  <si>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</si>
  <si>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</si>
  <si>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</si>
  <si>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</si>
  <si>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</si>
  <si>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</si>
  <si>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</si>
  <si>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</si>
  <si>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</si>
  <si>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</si>
  <si>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</si>
  <si>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</si>
  <si>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</si>
  <si>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</si>
  <si>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</si>
  <si>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</si>
  <si>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</si>
  <si>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</si>
  <si>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</si>
  <si>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</si>
  <si>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</si>
  <si>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</si>
  <si>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</si>
  <si>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</si>
  <si>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</si>
  <si>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</si>
  <si>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</si>
  <si>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</si>
  <si>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</si>
  <si>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</si>
  <si>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</si>
  <si>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</si>
  <si>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</si>
  <si>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</si>
  <si>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</si>
  <si>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</si>
  <si>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</si>
  <si>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</si>
  <si>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</si>
  <si>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</si>
  <si>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</si>
  <si>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</si>
  <si>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</si>
  <si>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</si>
  <si>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</si>
  <si>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</si>
  <si>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</si>
  <si>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</si>
  <si>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</si>
  <si>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</si>
  <si>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</si>
  <si>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</si>
  <si>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</si>
  <si>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</si>
  <si>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</si>
  <si>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</si>
  <si>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</si>
  <si>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</si>
  <si>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</si>
  <si>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</si>
  <si>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</si>
  <si>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</si>
  <si>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</si>
  <si>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</si>
  <si>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</si>
  <si>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</si>
  <si>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</si>
  <si>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</si>
  <si>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</si>
  <si>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</si>
  <si>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</si>
  <si>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</si>
  <si>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</si>
  <si>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</si>
  <si>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</si>
  <si>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</si>
  <si>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</si>
  <si>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</si>
  <si>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</si>
  <si>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</si>
  <si>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</si>
  <si>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</si>
  <si>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</si>
  <si>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</si>
  <si>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</si>
  <si>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</si>
  <si>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</si>
  <si>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</si>
  <si>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</si>
  <si>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</si>
  <si>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</si>
  <si>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</si>
  <si>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</si>
  <si>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</si>
  <si>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</si>
  <si>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</si>
  <si>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</si>
  <si>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</si>
  <si>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</si>
  <si>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</si>
  <si>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</si>
  <si>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</si>
  <si>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</si>
  <si>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</si>
  <si>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</si>
  <si>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</si>
  <si>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</si>
  <si>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</si>
  <si>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</si>
  <si>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</si>
  <si>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</si>
  <si>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</si>
  <si>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</si>
  <si>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</si>
  <si>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</si>
  <si>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</si>
  <si>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</si>
  <si>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</si>
  <si>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Garth Road</t>
  </si>
  <si>
    <t>IH-10</t>
  </si>
  <si>
    <t>Baytown IH-10 Ramp Reversal</t>
  </si>
  <si>
    <t>John Martin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</si>
</sst>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0" zoomScale="130" zoomScaleNormal="130" workbookViewId="0">
      <selection activeCell="C55" sqref="C5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ht="14.25" x14ac:dyDescent="0.4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39" sqref="B39"/>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x14ac:dyDescent="0.25">
      <c r="A5" s="119" t="s">
        <v>96</v>
      </c>
    </row>
    <row r="6" spans="1:7" ht="30" x14ac:dyDescent="0.25">
      <c r="A6" s="8" t="s">
        <v>97</v>
      </c>
      <c r="B6" s="137" t="s">
        <v>235</v>
      </c>
      <c r="D6" s="8"/>
      <c r="E6" s="103" t="s">
        <v>187</v>
      </c>
    </row>
    <row r="7" spans="1:7" x14ac:dyDescent="0.25">
      <c r="A7" s="8" t="s">
        <v>98</v>
      </c>
      <c r="B7" s="138" t="s">
        <v>200</v>
      </c>
      <c r="D7" s="104"/>
      <c r="E7" s="103" t="s">
        <v>196</v>
      </c>
    </row>
    <row r="8" spans="1:7" ht="14.25" x14ac:dyDescent="0.45">
      <c r="A8" s="8" t="s">
        <v>99</v>
      </c>
      <c r="B8" s="138" t="s">
        <v>205</v>
      </c>
      <c r="D8" s="105"/>
      <c r="E8" s="103" t="s">
        <v>216</v>
      </c>
    </row>
    <row r="9" spans="1:7" x14ac:dyDescent="0.25">
      <c r="A9" s="8" t="s">
        <v>100</v>
      </c>
      <c r="B9" s="138" t="s">
        <v>234</v>
      </c>
      <c r="D9" s="106"/>
      <c r="E9" s="103" t="s">
        <v>188</v>
      </c>
    </row>
    <row r="10" spans="1:7" x14ac:dyDescent="0.25">
      <c r="A10" s="8" t="s">
        <v>101</v>
      </c>
      <c r="B10" s="138" t="s">
        <v>236</v>
      </c>
    </row>
    <row r="11" spans="1:7" x14ac:dyDescent="0.25">
      <c r="A11" s="8" t="s">
        <v>102</v>
      </c>
      <c r="B11" s="138" t="s">
        <v>233</v>
      </c>
    </row>
    <row r="12" spans="1:7" ht="14.25" x14ac:dyDescent="0.45">
      <c r="A12" s="8" t="s">
        <v>103</v>
      </c>
      <c r="B12" s="138">
        <v>0.94</v>
      </c>
    </row>
    <row r="13" spans="1:7" ht="14.25" x14ac:dyDescent="0.45">
      <c r="A13" s="8" t="s">
        <v>68</v>
      </c>
      <c r="B13" s="138"/>
      <c r="F13" s="120"/>
    </row>
    <row r="14" spans="1:7" ht="14.25" x14ac:dyDescent="0.45">
      <c r="A14" s="8" t="s">
        <v>69</v>
      </c>
      <c r="B14" s="138"/>
    </row>
    <row r="17" spans="1:7" ht="14.25" x14ac:dyDescent="0.45">
      <c r="A17" s="119" t="s">
        <v>120</v>
      </c>
      <c r="E17" s="151" t="s">
        <v>231</v>
      </c>
      <c r="F17" s="152"/>
    </row>
    <row r="18" spans="1:7" ht="14.25" x14ac:dyDescent="0.45">
      <c r="A18" s="8" t="s">
        <v>79</v>
      </c>
      <c r="B18" s="139">
        <v>2021</v>
      </c>
      <c r="E18" s="105" t="s">
        <v>232</v>
      </c>
      <c r="F18" s="145">
        <f>$B$12/$B$32</f>
        <v>2.0434782608695651E-2</v>
      </c>
    </row>
    <row r="19" spans="1:7" ht="30" x14ac:dyDescent="0.25">
      <c r="A19" s="8" t="s">
        <v>121</v>
      </c>
      <c r="B19" s="140" t="s">
        <v>108</v>
      </c>
      <c r="E19" s="107" t="s">
        <v>212</v>
      </c>
      <c r="F19" s="146">
        <f>$B$12/$B$33</f>
        <v>2.764705882352941E-2</v>
      </c>
    </row>
    <row r="20" spans="1:7" ht="28.5" x14ac:dyDescent="0.45">
      <c r="A20" s="135" t="s">
        <v>208</v>
      </c>
      <c r="B20" s="136">
        <f>VLOOKUP(B19,'Delay Reduction Factors'!B4:C80,2, FALSE)</f>
        <v>0.2</v>
      </c>
      <c r="E20" s="107" t="s">
        <v>209</v>
      </c>
      <c r="F20" s="145">
        <f>$F$19-$F$18</f>
        <v>7.2122762148337585E-3</v>
      </c>
    </row>
    <row r="21" spans="1:7" ht="14.25" x14ac:dyDescent="0.45">
      <c r="A21" s="8" t="s">
        <v>104</v>
      </c>
      <c r="B21" s="79">
        <v>20</v>
      </c>
      <c r="D21" s="121"/>
      <c r="E21" s="105" t="s">
        <v>210</v>
      </c>
      <c r="F21" s="145">
        <f>$F$20*$B$20</f>
        <v>1.4424552429667518E-3</v>
      </c>
      <c r="G21" s="122"/>
    </row>
    <row r="22" spans="1:7" s="113" customFormat="1" ht="14.25" x14ac:dyDescent="0.45">
      <c r="D22" s="121"/>
      <c r="E22" s="105" t="s">
        <v>211</v>
      </c>
      <c r="F22" s="145">
        <f>$F$20-$F$21</f>
        <v>5.7698209718670072E-3</v>
      </c>
      <c r="G22" s="122"/>
    </row>
    <row r="23" spans="1:7" ht="14.25" x14ac:dyDescent="0.45">
      <c r="E23" s="105" t="s">
        <v>213</v>
      </c>
      <c r="F23" s="145">
        <f>$F$18+$F$22</f>
        <v>2.620460358056266E-2</v>
      </c>
    </row>
    <row r="24" spans="1:7" ht="14.25" x14ac:dyDescent="0.45">
      <c r="A24" s="119" t="s">
        <v>94</v>
      </c>
      <c r="B24" s="123"/>
      <c r="D24" s="121"/>
      <c r="G24" s="124"/>
    </row>
    <row r="25" spans="1:7" ht="14.25" x14ac:dyDescent="0.45">
      <c r="A25" s="8" t="s">
        <v>218</v>
      </c>
      <c r="B25" s="141">
        <v>15478</v>
      </c>
      <c r="D25" s="121"/>
      <c r="G25" s="124"/>
    </row>
    <row r="28" spans="1:7" ht="14.25" x14ac:dyDescent="0.45">
      <c r="A28" s="105" t="s">
        <v>227</v>
      </c>
      <c r="B28" s="134">
        <f>IF(FacilityType='Delay Reduction Factors'!N5,'Inputs &amp; Outputs'!B25*45%, B25*43%)</f>
        <v>6965.1</v>
      </c>
      <c r="D28" s="121"/>
      <c r="E28" s="125" t="s">
        <v>95</v>
      </c>
      <c r="F28" s="126" t="s">
        <v>20</v>
      </c>
      <c r="G28" s="127" t="s">
        <v>19</v>
      </c>
    </row>
    <row r="29" spans="1:7" ht="14.25" x14ac:dyDescent="0.45">
      <c r="A29" s="105" t="s">
        <v>228</v>
      </c>
      <c r="B29" s="115">
        <f>VLOOKUP(Year_Open_to_Traffic?,Calculations!H4:I36,2)</f>
        <v>3459.7167394393937</v>
      </c>
      <c r="D29" s="121"/>
      <c r="E29" s="107" t="s">
        <v>122</v>
      </c>
      <c r="F29" s="101">
        <f>$B$29*$F$23</f>
        <v>90.660505658046105</v>
      </c>
      <c r="G29" s="102">
        <f>$B$29*$F$19</f>
        <v>95.650992208030289</v>
      </c>
    </row>
    <row r="30" spans="1:7" ht="14.25" x14ac:dyDescent="0.45">
      <c r="A30" s="124"/>
      <c r="B30" s="100"/>
      <c r="D30" s="121"/>
    </row>
    <row r="32" spans="1:7" ht="14.25" x14ac:dyDescent="0.45">
      <c r="A32" s="128" t="s">
        <v>221</v>
      </c>
      <c r="B32" s="142">
        <v>46</v>
      </c>
      <c r="D32" s="121"/>
    </row>
    <row r="33" spans="1:7" ht="28.5" x14ac:dyDescent="0.45">
      <c r="A33" s="129" t="s">
        <v>222</v>
      </c>
      <c r="B33" s="143">
        <v>34</v>
      </c>
      <c r="D33" s="121"/>
      <c r="E33" s="121"/>
      <c r="F33" s="130"/>
      <c r="G33" s="117"/>
    </row>
    <row r="34" spans="1:7" ht="14.25" x14ac:dyDescent="0.45">
      <c r="A34" s="131"/>
      <c r="B34" s="144"/>
      <c r="E34" s="117"/>
      <c r="F34" s="130"/>
      <c r="G34" s="130"/>
    </row>
    <row r="35" spans="1:7" x14ac:dyDescent="0.25">
      <c r="A35" s="105" t="s">
        <v>223</v>
      </c>
      <c r="B35" s="148">
        <f>$B$28</f>
        <v>6965.1</v>
      </c>
    </row>
    <row r="36" spans="1:7" x14ac:dyDescent="0.25">
      <c r="A36" s="128" t="s">
        <v>224</v>
      </c>
      <c r="B36" s="142">
        <v>2150</v>
      </c>
    </row>
    <row r="37" spans="1:7" x14ac:dyDescent="0.25">
      <c r="A37" s="128" t="s">
        <v>229</v>
      </c>
      <c r="B37" s="142">
        <v>1361</v>
      </c>
    </row>
    <row r="38" spans="1:7" x14ac:dyDescent="0.25">
      <c r="A38" s="128" t="s">
        <v>225</v>
      </c>
      <c r="B38" s="142">
        <v>2150</v>
      </c>
    </row>
    <row r="39" spans="1:7" x14ac:dyDescent="0.25">
      <c r="A39" s="128" t="s">
        <v>230</v>
      </c>
      <c r="B39" s="142">
        <v>2148</v>
      </c>
    </row>
    <row r="40" spans="1:7" x14ac:dyDescent="0.25">
      <c r="A40" s="128" t="s">
        <v>226</v>
      </c>
      <c r="B40" s="142">
        <v>2150</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202.40570243443045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23571.731471091989</v>
      </c>
      <c r="F4" s="22">
        <f>'Inputs &amp; Outputs'!G29*Annual_Days_of_Travel</f>
        <v>24869.257974087875</v>
      </c>
      <c r="H4" s="59">
        <v>2018</v>
      </c>
      <c r="I4" s="60">
        <f>'Inputs &amp; Outputs'!B28</f>
        <v>6965.1</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-0.20803790543337985</v>
      </c>
      <c r="F5" s="28"/>
      <c r="H5" s="15">
        <f t="shared" ref="H5:H36" si="3">H4+1</f>
        <v>2019</v>
      </c>
      <c r="I5" s="97">
        <f>(I4*M5)+I4</f>
        <v>5516.0951848659661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-0.20803790543337985</v>
      </c>
      <c r="N5" s="87">
        <f t="shared" ref="N5:N11" si="6">N4*(1+IFERROR(_2018_2025_V_C_Growth,_2018_2045_V_C_Growth))</f>
        <v>0.79196209456662015</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2.3078145534562555E-2</v>
      </c>
      <c r="F6" s="28"/>
      <c r="H6" s="59">
        <f t="shared" si="3"/>
        <v>2020</v>
      </c>
      <c r="I6" s="97">
        <f t="shared" ref="I6:I36" si="10">(I5*M6)+I5</f>
        <v>4368.5382964352984</v>
      </c>
      <c r="J6" s="60">
        <f t="shared" si="4"/>
        <v>0</v>
      </c>
      <c r="K6" s="60">
        <f>IF(H6=Year_Open_to_Traffic?,Calculations!$E$4,K5+(K5*M6))</f>
        <v>0</v>
      </c>
      <c r="L6" s="60">
        <f>IF(AND(H6&gt;=Year_Open_to_Traffic?, Calculations!H6&lt;Year_Open_to_Traffic?+'Inputs &amp; Outputs'!B$21), 1, 0)</f>
        <v>0</v>
      </c>
      <c r="M6" s="81">
        <f t="shared" si="5"/>
        <v>-0.20803790543337985</v>
      </c>
      <c r="N6" s="87">
        <f t="shared" si="6"/>
        <v>0.62720395923034822</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-4.263392445460612E-2</v>
      </c>
      <c r="F7" s="28"/>
      <c r="H7" s="15">
        <f t="shared" si="3"/>
        <v>2021</v>
      </c>
      <c r="I7" s="97">
        <f t="shared" si="10"/>
        <v>3459.7167394393937</v>
      </c>
      <c r="J7" s="60">
        <f t="shared" si="4"/>
        <v>24869.257974087875</v>
      </c>
      <c r="K7" s="60">
        <f>IF(H7=Year_Open_to_Traffic?,Calculations!$E$4,K6+(K6*M7))</f>
        <v>23571.731471091989</v>
      </c>
      <c r="L7" s="60">
        <f>IF(AND(H7&gt;=Year_Open_to_Traffic?, Calculations!H7&lt;Year_Open_to_Traffic?+'Inputs &amp; Outputs'!B$21), 1, 0)</f>
        <v>1</v>
      </c>
      <c r="M7" s="81">
        <f t="shared" si="5"/>
        <v>-0.20803790543337985</v>
      </c>
      <c r="N7" s="87">
        <f t="shared" si="6"/>
        <v>0.49672176127254358</v>
      </c>
      <c r="O7" s="88">
        <f t="shared" si="7"/>
        <v>1</v>
      </c>
      <c r="P7" s="84">
        <f t="shared" si="8"/>
        <v>1297.5265029958864</v>
      </c>
      <c r="Q7" s="85">
        <f t="shared" si="0"/>
        <v>1</v>
      </c>
      <c r="R7" s="86">
        <f t="shared" si="1"/>
        <v>18.980213686084522</v>
      </c>
      <c r="S7" s="94">
        <f t="shared" si="2"/>
        <v>34.231989103405674</v>
      </c>
      <c r="T7" s="80">
        <f t="shared" si="9"/>
        <v>27.943500026860828</v>
      </c>
    </row>
    <row r="8" spans="1:24" ht="14.25" x14ac:dyDescent="0.45">
      <c r="A8" s="18" t="s">
        <v>27</v>
      </c>
      <c r="B8" s="18">
        <v>260</v>
      </c>
      <c r="D8" s="18" t="s">
        <v>66</v>
      </c>
      <c r="E8" s="23">
        <f>_2018_PeakVolume/_2018_Capacity</f>
        <v>3.2395813953488375</v>
      </c>
      <c r="F8" s="28"/>
      <c r="H8" s="59">
        <f t="shared" si="3"/>
        <v>2022</v>
      </c>
      <c r="I8" s="97">
        <f t="shared" si="10"/>
        <v>2739.9645155736198</v>
      </c>
      <c r="J8" s="60">
        <f t="shared" si="4"/>
        <v>19695.509635476254</v>
      </c>
      <c r="K8" s="60">
        <f>IF(H8=Year_Open_to_Traffic?,Calculations!$E$4,K7+(K7*M8))</f>
        <v>18667.917828407932</v>
      </c>
      <c r="L8" s="60">
        <f>IF(AND(H8&gt;=Year_Open_to_Traffic?, Calculations!H8&lt;Year_Open_to_Traffic?+'Inputs &amp; Outputs'!B$21), 1, 0)</f>
        <v>1</v>
      </c>
      <c r="M8" s="81">
        <f t="shared" si="5"/>
        <v>-0.20803790543337985</v>
      </c>
      <c r="N8" s="87">
        <f t="shared" si="6"/>
        <v>0.3933848064742243</v>
      </c>
      <c r="O8" s="88">
        <f t="shared" si="7"/>
        <v>1</v>
      </c>
      <c r="P8" s="84">
        <f>(J8-K8)*L8</f>
        <v>1027.5918070683219</v>
      </c>
      <c r="Q8" s="85">
        <f>IF(AND(H8&gt;=Year_Open_to_Traffic?,H8&lt;Year_Open_to_Traffic?+Years_to_include_in_BCA_Analysis),1,0)</f>
        <v>1</v>
      </c>
      <c r="R8" s="86">
        <f t="shared" si="1"/>
        <v>19.416758600864465</v>
      </c>
      <c r="S8" s="94">
        <f t="shared" si="2"/>
        <v>27.733977860719662</v>
      </c>
      <c r="T8" s="80">
        <f t="shared" si="9"/>
        <v>21.158118920975095</v>
      </c>
      <c r="W8" s="73"/>
      <c r="X8" s="73"/>
    </row>
    <row r="9" spans="1:24" ht="14.25" x14ac:dyDescent="0.45">
      <c r="A9" s="18" t="s">
        <v>64</v>
      </c>
      <c r="B9" s="18">
        <f>'Inputs &amp; Outputs'!B21</f>
        <v>20</v>
      </c>
      <c r="D9" s="18" t="s">
        <v>65</v>
      </c>
      <c r="E9" s="23">
        <f>_2025_PeakVolume/_2025_Capacity</f>
        <v>0.63302325581395347</v>
      </c>
      <c r="F9" s="28"/>
      <c r="H9" s="15">
        <f t="shared" si="3"/>
        <v>2023</v>
      </c>
      <c r="I9" s="97">
        <f t="shared" si="10"/>
        <v>2169.9480367918986</v>
      </c>
      <c r="J9" s="60">
        <f t="shared" si="4"/>
        <v>15598.097064468824</v>
      </c>
      <c r="K9" s="60">
        <f>IF(H9=Year_Open_to_Traffic?,Calculations!$E$4,K8+(K8*M9))</f>
        <v>14784.283304583496</v>
      </c>
      <c r="L9" s="60">
        <f>IF(AND(H9&gt;=Year_Open_to_Traffic?, Calculations!H9&lt;Year_Open_to_Traffic?+'Inputs &amp; Outputs'!B$21), 1, 0)</f>
        <v>1</v>
      </c>
      <c r="M9" s="81">
        <f t="shared" si="5"/>
        <v>-0.20803790543337985</v>
      </c>
      <c r="N9" s="87">
        <f t="shared" si="6"/>
        <v>0.3115458553060112</v>
      </c>
      <c r="O9" s="88">
        <f t="shared" si="7"/>
        <v>1</v>
      </c>
      <c r="P9" s="84">
        <f t="shared" si="8"/>
        <v>813.81375988532818</v>
      </c>
      <c r="Q9" s="85">
        <f t="shared" si="0"/>
        <v>1</v>
      </c>
      <c r="R9" s="86">
        <f t="shared" si="1"/>
        <v>19.863344048684343</v>
      </c>
      <c r="S9" s="94">
        <f t="shared" si="2"/>
        <v>22.469437158776369</v>
      </c>
      <c r="T9" s="80">
        <f t="shared" si="9"/>
        <v>16.020398154984335</v>
      </c>
      <c r="W9" s="73"/>
    </row>
    <row r="10" spans="1:24" ht="14.25" x14ac:dyDescent="0.45">
      <c r="D10" s="18" t="s">
        <v>82</v>
      </c>
      <c r="E10" s="23">
        <f>_2045_PeakVolume/_2045_Capacity</f>
        <v>0.99906976744186049</v>
      </c>
      <c r="F10" s="28"/>
      <c r="H10" s="59">
        <f t="shared" si="3"/>
        <v>2024</v>
      </c>
      <c r="I10" s="97">
        <f t="shared" si="10"/>
        <v>1718.5165923184372</v>
      </c>
      <c r="J10" s="60">
        <f t="shared" si="4"/>
        <v>12353.101622430178</v>
      </c>
      <c r="K10" s="60">
        <f>IF(H10=Year_Open_to_Traffic?,Calculations!$E$4,K9+(K9*M10))</f>
        <v>11708.591972564258</v>
      </c>
      <c r="L10" s="60">
        <f>IF(AND(H10&gt;=Year_Open_to_Traffic?, Calculations!H10&lt;Year_Open_to_Traffic?+'Inputs &amp; Outputs'!B$21), 1, 0)</f>
        <v>1</v>
      </c>
      <c r="M10" s="81">
        <f t="shared" si="5"/>
        <v>-0.20803790543337985</v>
      </c>
      <c r="N10" s="87">
        <f t="shared" si="6"/>
        <v>0.24673250812169781</v>
      </c>
      <c r="O10" s="88">
        <f t="shared" si="7"/>
        <v>1</v>
      </c>
      <c r="P10" s="84">
        <f>(J10-K10)*L10</f>
        <v>644.50964986592044</v>
      </c>
      <c r="Q10" s="85">
        <f t="shared" si="0"/>
        <v>1</v>
      </c>
      <c r="R10" s="86">
        <f t="shared" si="1"/>
        <v>20.320200961804083</v>
      </c>
      <c r="S10" s="94">
        <f t="shared" si="2"/>
        <v>18.204226193865509</v>
      </c>
      <c r="T10" s="80">
        <f t="shared" si="9"/>
        <v>12.130244564879151</v>
      </c>
      <c r="W10" s="73"/>
    </row>
    <row r="11" spans="1:24" ht="30" customHeight="1" x14ac:dyDescent="0.45">
      <c r="A11" s="153" t="s">
        <v>219</v>
      </c>
      <c r="B11" s="154"/>
      <c r="D11" s="18" t="s">
        <v>70</v>
      </c>
      <c r="E11" s="46">
        <f>(E9/E8)^(1/(2025-2018))-1</f>
        <v>-0.20803790543337985</v>
      </c>
      <c r="F11" s="28"/>
      <c r="H11" s="15">
        <f t="shared" si="3"/>
        <v>2025</v>
      </c>
      <c r="I11" s="97">
        <f t="shared" si="10"/>
        <v>1361</v>
      </c>
      <c r="J11" s="60">
        <f t="shared" si="4"/>
        <v>9783.1882352941175</v>
      </c>
      <c r="K11" s="60">
        <f>IF(H11=Year_Open_to_Traffic?,Calculations!$E$4,K10+(K10*M11))</f>
        <v>9272.7610230179052</v>
      </c>
      <c r="L11" s="60">
        <f>IF(AND(H11&gt;=Year_Open_to_Traffic?, Calculations!H11&lt;Year_Open_to_Traffic?+'Inputs &amp; Outputs'!B$21), 1, 0)</f>
        <v>1</v>
      </c>
      <c r="M11" s="81">
        <f t="shared" si="5"/>
        <v>-0.20803790543337985</v>
      </c>
      <c r="N11" s="87">
        <f t="shared" si="6"/>
        <v>0.19540279392973542</v>
      </c>
      <c r="O11" s="88">
        <f t="shared" si="7"/>
        <v>1</v>
      </c>
      <c r="P11" s="84">
        <f t="shared" si="8"/>
        <v>510.42721227621223</v>
      </c>
      <c r="Q11" s="85">
        <f t="shared" si="0"/>
        <v>1</v>
      </c>
      <c r="R11" s="86">
        <f t="shared" si="1"/>
        <v>20.787565583925574</v>
      </c>
      <c r="S11" s="94">
        <f t="shared" si="2"/>
        <v>14.748649419906766</v>
      </c>
      <c r="T11" s="80">
        <f t="shared" si="9"/>
        <v>9.1847176193932629</v>
      </c>
      <c r="W11" s="73"/>
    </row>
    <row r="12" spans="1:24" ht="14.25" x14ac:dyDescent="0.45">
      <c r="A12" s="18" t="s">
        <v>205</v>
      </c>
      <c r="B12" s="19">
        <v>0.45</v>
      </c>
      <c r="D12" s="18" t="s">
        <v>83</v>
      </c>
      <c r="E12" s="46">
        <f>(E10/E9)^(1/(2045-2025))-1</f>
        <v>2.3078145534562555E-2</v>
      </c>
      <c r="F12" s="28"/>
      <c r="H12" s="59">
        <v>2026</v>
      </c>
      <c r="I12" s="97">
        <f t="shared" si="10"/>
        <v>1392.4093560725396</v>
      </c>
      <c r="J12" s="60">
        <f t="shared" si="4"/>
        <v>10008.966077180256</v>
      </c>
      <c r="K12" s="60">
        <f>IF(H12=Year_Open_to_Traffic?,Calculations!$E$4,K11+(K11*M12))</f>
        <v>9486.7591514143314</v>
      </c>
      <c r="L12" s="60">
        <f>IF(AND(H12&gt;=Year_Open_to_Traffic?, Calculations!H12&lt;Year_Open_to_Traffic?+'Inputs &amp; Outputs'!B$21), 1, 0)</f>
        <v>1</v>
      </c>
      <c r="M12" s="81">
        <f t="shared" ref="M12:M36" si="11">IFERROR(_2025_2045_Demand_Growth,_2018_2045_Demand_Growth)</f>
        <v>2.3078145534562555E-2</v>
      </c>
      <c r="N12" s="87">
        <f t="shared" ref="N12:N36" si="12">N11*(1+IFERROR(_2025_2045_V_C_Growth,_2018_2045_V_C_Growth))</f>
        <v>0.199912328045906</v>
      </c>
      <c r="O12" s="88">
        <f t="shared" si="7"/>
        <v>1</v>
      </c>
      <c r="P12" s="84">
        <f t="shared" si="8"/>
        <v>522.2069257659241</v>
      </c>
      <c r="Q12" s="85">
        <f t="shared" si="0"/>
        <v>1</v>
      </c>
      <c r="R12" s="86">
        <f t="shared" si="1"/>
        <v>21.265679592355859</v>
      </c>
      <c r="S12" s="94">
        <f t="shared" si="2"/>
        <v>15.43606837830375</v>
      </c>
      <c r="T12" s="80">
        <f t="shared" si="9"/>
        <v>8.9839323348612705</v>
      </c>
      <c r="W12" s="73"/>
    </row>
    <row r="13" spans="1:24" ht="14.25" x14ac:dyDescent="0.45">
      <c r="A13" s="18" t="s">
        <v>206</v>
      </c>
      <c r="B13" s="19">
        <v>0.43</v>
      </c>
      <c r="D13" s="18" t="s">
        <v>84</v>
      </c>
      <c r="E13" s="46">
        <f>(E10/E8)^(1/(2045-2018))-1</f>
        <v>-4.263392445460612E-2</v>
      </c>
      <c r="F13" s="28"/>
      <c r="H13" s="15">
        <f t="shared" si="3"/>
        <v>2027</v>
      </c>
      <c r="I13" s="97">
        <f t="shared" si="10"/>
        <v>1424.5435818356682</v>
      </c>
      <c r="J13" s="60">
        <f t="shared" si="4"/>
        <v>10239.954452959921</v>
      </c>
      <c r="K13" s="60">
        <f>IF(H13=Year_Open_to_Traffic?,Calculations!$E$4,K12+(K12*M13))</f>
        <v>9705.6959597620153</v>
      </c>
      <c r="L13" s="60">
        <f>IF(AND(H13&gt;=Year_Open_to_Traffic?, Calculations!H13&lt;Year_Open_to_Traffic?+'Inputs &amp; Outputs'!B$21), 1, 0)</f>
        <v>1</v>
      </c>
      <c r="M13" s="81">
        <f t="shared" si="11"/>
        <v>2.3078145534562555E-2</v>
      </c>
      <c r="N13" s="87">
        <f t="shared" si="12"/>
        <v>0.20452593384670265</v>
      </c>
      <c r="O13" s="88">
        <f t="shared" si="7"/>
        <v>1</v>
      </c>
      <c r="P13" s="84">
        <f t="shared" si="8"/>
        <v>534.25849319790541</v>
      </c>
      <c r="Q13" s="85">
        <f t="shared" si="0"/>
        <v>1</v>
      </c>
      <c r="R13" s="86">
        <f t="shared" si="1"/>
        <v>21.754790222980041</v>
      </c>
      <c r="S13" s="94">
        <f t="shared" si="2"/>
        <v>16.15552720766852</v>
      </c>
      <c r="T13" s="80">
        <f t="shared" si="9"/>
        <v>8.787536377487168</v>
      </c>
      <c r="W13" s="73"/>
    </row>
    <row r="14" spans="1:24" ht="14.25" x14ac:dyDescent="0.45">
      <c r="H14" s="59">
        <f>H13+1</f>
        <v>2028</v>
      </c>
      <c r="I14" s="97">
        <f t="shared" si="10"/>
        <v>1457.4194059375989</v>
      </c>
      <c r="J14" s="60">
        <f t="shared" si="4"/>
        <v>10476.273612092622</v>
      </c>
      <c r="K14" s="60">
        <f>IF(H14=Year_Open_to_Traffic?,Calculations!$E$4,K13+(K13*M14))</f>
        <v>9929.6854236356194</v>
      </c>
      <c r="L14" s="60">
        <f>IF(AND(H14&gt;=Year_Open_to_Traffic?, Calculations!H14&lt;Year_Open_to_Traffic?+'Inputs &amp; Outputs'!B$21), 1, 0)</f>
        <v>1</v>
      </c>
      <c r="M14" s="81">
        <f t="shared" si="11"/>
        <v>2.3078145534562555E-2</v>
      </c>
      <c r="N14" s="87">
        <f t="shared" si="12"/>
        <v>0.20924601311360916</v>
      </c>
      <c r="O14" s="88">
        <f t="shared" si="7"/>
        <v>1</v>
      </c>
      <c r="P14" s="84">
        <f t="shared" si="8"/>
        <v>546.58818845700262</v>
      </c>
      <c r="Q14" s="85">
        <f t="shared" si="0"/>
        <v>1</v>
      </c>
      <c r="R14" s="86">
        <f t="shared" si="1"/>
        <v>22.255150398108579</v>
      </c>
      <c r="S14" s="94">
        <f t="shared" si="2"/>
        <v>16.908519252517028</v>
      </c>
      <c r="T14" s="80">
        <f t="shared" si="9"/>
        <v>8.5954337930632789</v>
      </c>
      <c r="W14" s="73"/>
    </row>
    <row r="15" spans="1:24" ht="14.25" x14ac:dyDescent="0.45">
      <c r="H15" s="15">
        <f t="shared" si="3"/>
        <v>2029</v>
      </c>
      <c r="I15" s="97">
        <f t="shared" si="10"/>
        <v>1491.0539430927224</v>
      </c>
      <c r="J15" s="60">
        <f t="shared" si="4"/>
        <v>10718.046579172393</v>
      </c>
      <c r="K15" s="60">
        <f>IF(H15=Year_Open_to_Traffic?,Calculations!$E$4,K14+(K14*M15))</f>
        <v>10158.844148954706</v>
      </c>
      <c r="L15" s="60">
        <f>IF(AND(H15&gt;=Year_Open_to_Traffic?, Calculations!H15&lt;Year_Open_to_Traffic?+'Inputs &amp; Outputs'!B$21), 1, 0)</f>
        <v>1</v>
      </c>
      <c r="M15" s="81">
        <f t="shared" si="11"/>
        <v>2.3078145534562555E-2</v>
      </c>
      <c r="N15" s="87">
        <f t="shared" si="12"/>
        <v>0.21407502305677201</v>
      </c>
      <c r="O15" s="88">
        <f t="shared" si="7"/>
        <v>1</v>
      </c>
      <c r="P15" s="84">
        <f t="shared" si="8"/>
        <v>559.20243021768692</v>
      </c>
      <c r="Q15" s="85">
        <f t="shared" si="0"/>
        <v>1</v>
      </c>
      <c r="R15" s="86">
        <f t="shared" si="1"/>
        <v>22.767018857265079</v>
      </c>
      <c r="S15" s="94">
        <f t="shared" si="2"/>
        <v>17.696607460574402</v>
      </c>
      <c r="T15" s="80">
        <f t="shared" si="9"/>
        <v>8.4075307250177218</v>
      </c>
      <c r="W15" s="73"/>
    </row>
    <row r="16" spans="1:24" ht="14.25" x14ac:dyDescent="0.45">
      <c r="H16" s="59">
        <f t="shared" si="3"/>
        <v>2030</v>
      </c>
      <c r="I16" s="97">
        <f t="shared" si="10"/>
        <v>1525.4647029912996</v>
      </c>
      <c r="J16" s="60">
        <f t="shared" si="4"/>
        <v>10965.399217972754</v>
      </c>
      <c r="K16" s="60">
        <f>IF(H16=Year_Open_to_Traffic?,Calculations!$E$4,K15+(K15*M16))</f>
        <v>10393.291432687221</v>
      </c>
      <c r="L16" s="60">
        <f>IF(AND(H16&gt;=Year_Open_to_Traffic?, Calculations!H16&lt;Year_Open_to_Traffic?+'Inputs &amp; Outputs'!B$21), 1, 0)</f>
        <v>1</v>
      </c>
      <c r="M16" s="81">
        <f t="shared" si="11"/>
        <v>2.3078145534562555E-2</v>
      </c>
      <c r="N16" s="87">
        <f t="shared" si="12"/>
        <v>0.21901547759419102</v>
      </c>
      <c r="O16" s="88">
        <f t="shared" si="7"/>
        <v>1</v>
      </c>
      <c r="P16" s="84">
        <f t="shared" si="8"/>
        <v>572.10778528553237</v>
      </c>
      <c r="Q16" s="85">
        <f t="shared" si="0"/>
        <v>1</v>
      </c>
      <c r="R16" s="86">
        <f t="shared" si="1"/>
        <v>23.290660290982171</v>
      </c>
      <c r="S16" s="94">
        <f t="shared" si="2"/>
        <v>18.521427626906988</v>
      </c>
      <c r="T16" s="80">
        <f t="shared" si="9"/>
        <v>8.2237353685584544</v>
      </c>
      <c r="W16" s="73"/>
    </row>
    <row r="17" spans="1:23" ht="14.25" x14ac:dyDescent="0.45">
      <c r="A17" s="29"/>
      <c r="H17" s="15">
        <f t="shared" si="3"/>
        <v>2031</v>
      </c>
      <c r="I17" s="97">
        <f t="shared" si="10"/>
        <v>1560.669599414771</v>
      </c>
      <c r="J17" s="60">
        <f t="shared" si="4"/>
        <v>11218.460296969708</v>
      </c>
      <c r="K17" s="60">
        <f>IF(H17=Year_Open_to_Traffic?,Calculations!$E$4,K16+(K16*M17))</f>
        <v>10633.1493249539</v>
      </c>
      <c r="L17" s="60">
        <f>IF(AND(H17&gt;=Year_Open_to_Traffic?, Calculations!H17&lt;Year_Open_to_Traffic?+'Inputs &amp; Outputs'!B$21), 1, 0)</f>
        <v>1</v>
      </c>
      <c r="M17" s="81">
        <f t="shared" si="11"/>
        <v>2.3078145534562555E-2</v>
      </c>
      <c r="N17" s="87">
        <f t="shared" si="12"/>
        <v>0.22406994866043148</v>
      </c>
      <c r="O17" s="88">
        <f t="shared" si="7"/>
        <v>1</v>
      </c>
      <c r="P17" s="84">
        <f t="shared" si="8"/>
        <v>585.31097201580815</v>
      </c>
      <c r="Q17" s="85">
        <f t="shared" si="0"/>
        <v>1</v>
      </c>
      <c r="R17" s="86">
        <f t="shared" si="1"/>
        <v>23.82634547767476</v>
      </c>
      <c r="S17" s="94">
        <f t="shared" si="2"/>
        <v>19.384691789259954</v>
      </c>
      <c r="T17" s="80">
        <f t="shared" si="9"/>
        <v>8.0439579258197256</v>
      </c>
      <c r="W17" s="73"/>
    </row>
    <row r="18" spans="1:23" ht="14.25" x14ac:dyDescent="0.45">
      <c r="H18" s="59">
        <f t="shared" si="3"/>
        <v>2032</v>
      </c>
      <c r="I18" s="97">
        <f t="shared" si="10"/>
        <v>1596.6869595614326</v>
      </c>
      <c r="J18" s="60">
        <f t="shared" si="4"/>
        <v>11477.361556376887</v>
      </c>
      <c r="K18" s="60">
        <f>IF(H18=Year_Open_to_Traffic?,Calculations!$E$4,K17+(K17*M18))</f>
        <v>10878.542692565921</v>
      </c>
      <c r="L18" s="60">
        <f>IF(AND(H18&gt;=Year_Open_to_Traffic?, Calculations!H18&lt;Year_Open_to_Traffic?+'Inputs &amp; Outputs'!B$21), 1, 0)</f>
        <v>1</v>
      </c>
      <c r="M18" s="81">
        <f t="shared" si="11"/>
        <v>2.3078145534562555E-2</v>
      </c>
      <c r="N18" s="87">
        <f t="shared" si="12"/>
        <v>0.22924106754553888</v>
      </c>
      <c r="O18" s="88">
        <f t="shared" si="7"/>
        <v>1</v>
      </c>
      <c r="P18" s="84">
        <f t="shared" si="8"/>
        <v>598.81886381096592</v>
      </c>
      <c r="Q18" s="85">
        <f t="shared" si="0"/>
        <v>1</v>
      </c>
      <c r="R18" s="86">
        <f t="shared" si="1"/>
        <v>24.374351423661277</v>
      </c>
      <c r="S18" s="94">
        <f t="shared" si="2"/>
        <v>20.288191781648003</v>
      </c>
      <c r="T18" s="80">
        <f t="shared" si="9"/>
        <v>7.8681105619890941</v>
      </c>
      <c r="W18" s="73"/>
    </row>
    <row r="19" spans="1:23" ht="14.25" x14ac:dyDescent="0.45">
      <c r="H19" s="15">
        <f t="shared" si="3"/>
        <v>2033</v>
      </c>
      <c r="I19" s="97">
        <f t="shared" si="10"/>
        <v>1633.5355335873296</v>
      </c>
      <c r="J19" s="60">
        <f t="shared" si="4"/>
        <v>11742.237776727747</v>
      </c>
      <c r="K19" s="60">
        <f>IF(H19=Year_Open_to_Traffic?,Calculations!$E$4,K18+(K18*M19))</f>
        <v>11129.599284028909</v>
      </c>
      <c r="L19" s="60">
        <f>IF(AND(H19&gt;=Year_Open_to_Traffic?, Calculations!H19&lt;Year_Open_to_Traffic?+'Inputs &amp; Outputs'!B$21), 1, 0)</f>
        <v>1</v>
      </c>
      <c r="M19" s="81">
        <f t="shared" si="11"/>
        <v>2.3078145534562555E-2</v>
      </c>
      <c r="N19" s="87">
        <f t="shared" si="12"/>
        <v>0.23453152626485332</v>
      </c>
      <c r="O19" s="88">
        <f t="shared" si="7"/>
        <v>1</v>
      </c>
      <c r="P19" s="84">
        <f t="shared" si="8"/>
        <v>612.63849269883758</v>
      </c>
      <c r="Q19" s="85">
        <f t="shared" si="0"/>
        <v>1</v>
      </c>
      <c r="R19" s="86">
        <f t="shared" si="1"/>
        <v>24.934961506405479</v>
      </c>
      <c r="S19" s="94">
        <f t="shared" si="2"/>
        <v>21.233802953575026</v>
      </c>
      <c r="T19" s="80">
        <f t="shared" si="9"/>
        <v>7.6961073623934491</v>
      </c>
      <c r="W19" s="73"/>
    </row>
    <row r="20" spans="1:23" ht="14.25" x14ac:dyDescent="0.45">
      <c r="H20" s="59">
        <f t="shared" si="3"/>
        <v>2034</v>
      </c>
      <c r="I20" s="97">
        <f t="shared" si="10"/>
        <v>1671.2345043673372</v>
      </c>
      <c r="J20" s="60">
        <f t="shared" si="4"/>
        <v>12013.226849040508</v>
      </c>
      <c r="K20" s="60">
        <f>IF(H20=Year_Open_to_Traffic?,Calculations!$E$4,K19+(K19*M20))</f>
        <v>11386.449796047091</v>
      </c>
      <c r="L20" s="60">
        <f>IF(AND(H20&gt;=Year_Open_to_Traffic?, Calculations!H20&lt;Year_Open_to_Traffic?+'Inputs &amp; Outputs'!B$21), 1, 0)</f>
        <v>1</v>
      </c>
      <c r="M20" s="81">
        <f t="shared" si="11"/>
        <v>2.3078145534562555E-2</v>
      </c>
      <c r="N20" s="87">
        <f t="shared" si="12"/>
        <v>0.23994407896043668</v>
      </c>
      <c r="O20" s="88">
        <f t="shared" si="7"/>
        <v>1</v>
      </c>
      <c r="P20" s="84">
        <f t="shared" si="8"/>
        <v>626.77705299341687</v>
      </c>
      <c r="Q20" s="85">
        <f t="shared" si="0"/>
        <v>1</v>
      </c>
      <c r="R20" s="86">
        <f t="shared" si="1"/>
        <v>25.508465621052807</v>
      </c>
      <c r="S20" s="94">
        <f t="shared" si="2"/>
        <v>22.22348806260284</v>
      </c>
      <c r="T20" s="80">
        <f t="shared" si="9"/>
        <v>7.5278642905232669</v>
      </c>
      <c r="W20" s="73"/>
    </row>
    <row r="21" spans="1:23" ht="14.25" x14ac:dyDescent="0.45">
      <c r="H21" s="15">
        <f t="shared" si="3"/>
        <v>2035</v>
      </c>
      <c r="I21" s="97">
        <f t="shared" si="10"/>
        <v>1709.8034974815091</v>
      </c>
      <c r="J21" s="60">
        <f t="shared" si="4"/>
        <v>12290.469846602378</v>
      </c>
      <c r="K21" s="60">
        <f>IF(H21=Year_Open_to_Traffic?,Calculations!$E$4,K20+(K20*M21))</f>
        <v>11649.227941562256</v>
      </c>
      <c r="L21" s="60">
        <f>IF(AND(H21&gt;=Year_Open_to_Traffic?, Calculations!H21&lt;Year_Open_to_Traffic?+'Inputs &amp; Outputs'!B$21), 1, 0)</f>
        <v>1</v>
      </c>
      <c r="M21" s="81">
        <f t="shared" si="11"/>
        <v>2.3078145534562555E-2</v>
      </c>
      <c r="N21" s="87">
        <f t="shared" si="12"/>
        <v>0.24548154333484221</v>
      </c>
      <c r="O21" s="88">
        <f t="shared" si="7"/>
        <v>1</v>
      </c>
      <c r="P21" s="84">
        <f t="shared" si="8"/>
        <v>641.24190504012222</v>
      </c>
      <c r="Q21" s="85">
        <f t="shared" si="0"/>
        <v>1</v>
      </c>
      <c r="R21" s="86">
        <f t="shared" si="1"/>
        <v>26.095160330337016</v>
      </c>
      <c r="S21" s="94">
        <f t="shared" si="2"/>
        <v>23.259301348348302</v>
      </c>
      <c r="T21" s="80">
        <f t="shared" si="9"/>
        <v>7.3632991469744189</v>
      </c>
      <c r="W21" s="73"/>
    </row>
    <row r="22" spans="1:23" ht="14.25" x14ac:dyDescent="0.45">
      <c r="H22" s="59">
        <f>H21+1</f>
        <v>2036</v>
      </c>
      <c r="I22" s="97">
        <f t="shared" si="10"/>
        <v>1749.2625914318915</v>
      </c>
      <c r="J22" s="60">
        <f t="shared" si="4"/>
        <v>12574.11109841042</v>
      </c>
      <c r="K22" s="60">
        <f>IF(H22=Year_Open_to_Traffic?,Calculations!$E$4,K21+(K21*M22))</f>
        <v>11918.070519362922</v>
      </c>
      <c r="L22" s="60">
        <f>IF(AND(H22&gt;=Year_Open_to_Traffic?, Calculations!H22&lt;Year_Open_to_Traffic?+'Inputs &amp; Outputs'!B$21), 1, 0)</f>
        <v>1</v>
      </c>
      <c r="M22" s="81">
        <f t="shared" si="11"/>
        <v>2.3078145534562555E-2</v>
      </c>
      <c r="N22" s="87">
        <f t="shared" si="12"/>
        <v>0.25114680211797275</v>
      </c>
      <c r="O22" s="88">
        <f t="shared" si="7"/>
        <v>1</v>
      </c>
      <c r="P22" s="84">
        <f t="shared" si="8"/>
        <v>656.04057904749789</v>
      </c>
      <c r="Q22" s="85">
        <f t="shared" si="0"/>
        <v>1</v>
      </c>
      <c r="R22" s="86">
        <f t="shared" si="1"/>
        <v>26.695349017934767</v>
      </c>
      <c r="S22" s="94">
        <f t="shared" si="2"/>
        <v>24.343392796365357</v>
      </c>
      <c r="T22" s="80">
        <f t="shared" si="9"/>
        <v>7.2023315292876378</v>
      </c>
      <c r="W22" s="73"/>
    </row>
    <row r="23" spans="1:23" ht="14.25" x14ac:dyDescent="0.45">
      <c r="H23" s="15">
        <f t="shared" si="3"/>
        <v>2037</v>
      </c>
      <c r="I23" s="97">
        <f t="shared" si="10"/>
        <v>1789.6323280951226</v>
      </c>
      <c r="J23" s="60">
        <f t="shared" si="4"/>
        <v>12864.298264307294</v>
      </c>
      <c r="K23" s="60">
        <f>IF(H23=Year_Open_to_Traffic?,Calculations!$E$4,K22+(K22*M23))</f>
        <v>12193.117485299959</v>
      </c>
      <c r="L23" s="60">
        <f>IF(AND(H23&gt;=Year_Open_to_Traffic?, Calculations!H23&lt;Year_Open_to_Traffic?+'Inputs &amp; Outputs'!B$21), 1, 0)</f>
        <v>1</v>
      </c>
      <c r="M23" s="81">
        <f t="shared" si="11"/>
        <v>2.3078145534562555E-2</v>
      </c>
      <c r="N23" s="87">
        <f t="shared" si="12"/>
        <v>0.25694280456779128</v>
      </c>
      <c r="O23" s="88">
        <f t="shared" si="7"/>
        <v>1</v>
      </c>
      <c r="P23" s="84">
        <f t="shared" si="8"/>
        <v>671.18077900733442</v>
      </c>
      <c r="Q23" s="85">
        <f t="shared" si="0"/>
        <v>1</v>
      </c>
      <c r="R23" s="86">
        <f t="shared" si="1"/>
        <v>27.309342045347261</v>
      </c>
      <c r="S23" s="94">
        <f t="shared" si="2"/>
        <v>25.478012600761758</v>
      </c>
      <c r="T23" s="80">
        <f t="shared" si="9"/>
        <v>7.0448827926657973</v>
      </c>
      <c r="W23" s="73"/>
    </row>
    <row r="24" spans="1:23" ht="14.25" x14ac:dyDescent="0.45">
      <c r="H24" s="59">
        <f t="shared" si="3"/>
        <v>2038</v>
      </c>
      <c r="I24" s="97">
        <f t="shared" si="10"/>
        <v>1830.9337234162599</v>
      </c>
      <c r="J24" s="60">
        <f t="shared" si="4"/>
        <v>13161.182411850998</v>
      </c>
      <c r="K24" s="60">
        <f>IF(H24=Year_Open_to_Traffic?,Calculations!$E$4,K23+(K23*M24))</f>
        <v>12474.512025145732</v>
      </c>
      <c r="L24" s="60">
        <f>IF(AND(H24&gt;=Year_Open_to_Traffic?, Calculations!H24&lt;Year_Open_to_Traffic?+'Inputs &amp; Outputs'!B$21), 1, 0)</f>
        <v>1</v>
      </c>
      <c r="M24" s="81">
        <f t="shared" si="11"/>
        <v>2.3078145534562555E-2</v>
      </c>
      <c r="N24" s="87">
        <f t="shared" si="12"/>
        <v>0.26287256800566544</v>
      </c>
      <c r="O24" s="88">
        <f t="shared" si="7"/>
        <v>1</v>
      </c>
      <c r="P24" s="84">
        <f>(J24-K24)*L24</f>
        <v>686.67038670526563</v>
      </c>
      <c r="Q24" s="85">
        <f t="shared" si="0"/>
        <v>1</v>
      </c>
      <c r="R24" s="86">
        <f t="shared" si="1"/>
        <v>27.93745691239025</v>
      </c>
      <c r="S24" s="94">
        <f t="shared" si="2"/>
        <v>26.66551583481386</v>
      </c>
      <c r="T24" s="80">
        <f t="shared" si="9"/>
        <v>6.8908760115500236</v>
      </c>
      <c r="W24" s="73"/>
    </row>
    <row r="25" spans="1:23" ht="14.25" x14ac:dyDescent="0.45">
      <c r="H25" s="15">
        <f t="shared" si="3"/>
        <v>2039</v>
      </c>
      <c r="I25" s="97">
        <f t="shared" si="10"/>
        <v>1873.1882783493988</v>
      </c>
      <c r="J25" s="60">
        <f t="shared" si="4"/>
        <v>13464.918094958621</v>
      </c>
      <c r="K25" s="60">
        <f>IF(H25=Year_Open_to_Traffic?,Calculations!$E$4,K24+(K24*M25))</f>
        <v>12762.400629134696</v>
      </c>
      <c r="L25" s="60">
        <f>IF(AND(H25&gt;=Year_Open_to_Traffic?, Calculations!H25&lt;Year_Open_to_Traffic?+'Inputs &amp; Outputs'!B$21), 1, 0)</f>
        <v>1</v>
      </c>
      <c r="M25" s="81">
        <f t="shared" si="11"/>
        <v>2.3078145534562555E-2</v>
      </c>
      <c r="N25" s="87">
        <f t="shared" si="12"/>
        <v>0.2689391793871444</v>
      </c>
      <c r="O25" s="88">
        <f t="shared" si="7"/>
        <v>1</v>
      </c>
      <c r="P25" s="84">
        <f t="shared" si="8"/>
        <v>702.51746582392479</v>
      </c>
      <c r="Q25" s="85">
        <f t="shared" si="0"/>
        <v>1</v>
      </c>
      <c r="R25" s="86">
        <f t="shared" si="1"/>
        <v>28.580018421375218</v>
      </c>
      <c r="S25" s="94">
        <f t="shared" si="2"/>
        <v>27.908367339273987</v>
      </c>
      <c r="T25" s="80">
        <f t="shared" si="9"/>
        <v>6.7402359420358184</v>
      </c>
      <c r="W25" s="73"/>
    </row>
    <row r="26" spans="1:23" ht="14.25" x14ac:dyDescent="0.45">
      <c r="H26" s="59">
        <f t="shared" si="3"/>
        <v>2040</v>
      </c>
      <c r="I26" s="97">
        <f t="shared" si="10"/>
        <v>1916.4179900507829</v>
      </c>
      <c r="J26" s="60">
        <f t="shared" si="4"/>
        <v>13775.66343436504</v>
      </c>
      <c r="K26" s="60">
        <f>IF(H26=Year_Open_to_Traffic?,Calculations!$E$4,K25+(K25*M26))</f>
        <v>13056.933168224259</v>
      </c>
      <c r="L26" s="60">
        <f>IF(AND(H26&gt;=Year_Open_to_Traffic?, Calculations!H26&lt;Year_Open_to_Traffic?+'Inputs &amp; Outputs'!B$21), 1, 0)</f>
        <v>1</v>
      </c>
      <c r="M26" s="81">
        <f t="shared" si="11"/>
        <v>2.3078145534562555E-2</v>
      </c>
      <c r="N26" s="87">
        <f t="shared" si="12"/>
        <v>0.27514579690898672</v>
      </c>
      <c r="O26" s="88">
        <f t="shared" si="7"/>
        <v>1</v>
      </c>
      <c r="P26" s="84">
        <f t="shared" si="8"/>
        <v>718.73026614078117</v>
      </c>
      <c r="Q26" s="85">
        <f t="shared" si="0"/>
        <v>1</v>
      </c>
      <c r="R26" s="86">
        <f t="shared" si="1"/>
        <v>29.237358845066851</v>
      </c>
      <c r="S26" s="94">
        <f t="shared" si="2"/>
        <v>29.209146838516101</v>
      </c>
      <c r="T26" s="80">
        <f t="shared" si="9"/>
        <v>6.5928889851106609</v>
      </c>
      <c r="W26" s="73"/>
    </row>
    <row r="27" spans="1:23" ht="14.25" x14ac:dyDescent="0.45">
      <c r="H27" s="15">
        <f t="shared" si="3"/>
        <v>2041</v>
      </c>
      <c r="I27" s="97">
        <f t="shared" si="10"/>
        <v>1960.6453633302287</v>
      </c>
      <c r="J27" s="60">
        <f t="shared" si="4"/>
        <v>14093.580199938469</v>
      </c>
      <c r="K27" s="60">
        <f>IF(H27=Year_Open_to_Traffic?,Calculations!$E$4,K26+(K26*M27))</f>
        <v>13358.262972115595</v>
      </c>
      <c r="L27" s="60">
        <f>IF(AND(H27&gt;=Year_Open_to_Traffic?, Calculations!H27&lt;Year_Open_to_Traffic?+'Inputs &amp; Outputs'!B$21), 1, 0)</f>
        <v>0</v>
      </c>
      <c r="M27" s="81">
        <f t="shared" si="11"/>
        <v>2.3078145534562555E-2</v>
      </c>
      <c r="N27" s="87">
        <f t="shared" si="12"/>
        <v>0.2814956516532755</v>
      </c>
      <c r="O27" s="88">
        <f t="shared" si="7"/>
        <v>1</v>
      </c>
      <c r="P27" s="84">
        <f t="shared" si="8"/>
        <v>0</v>
      </c>
      <c r="Q27" s="85">
        <f t="shared" si="0"/>
        <v>0</v>
      </c>
      <c r="R27" s="86">
        <f t="shared" si="1"/>
        <v>29.909818098503379</v>
      </c>
      <c r="S27" s="94">
        <f t="shared" si="2"/>
        <v>0</v>
      </c>
      <c r="T27" s="80">
        <f t="shared" si="9"/>
        <v>0</v>
      </c>
      <c r="W27" s="73"/>
    </row>
    <row r="28" spans="1:23" ht="14.25" x14ac:dyDescent="0.45">
      <c r="H28" s="59">
        <f t="shared" si="3"/>
        <v>2042</v>
      </c>
      <c r="I28" s="97">
        <f t="shared" si="10"/>
        <v>2005.8934223668291</v>
      </c>
      <c r="J28" s="60">
        <f t="shared" si="4"/>
        <v>14418.833894895679</v>
      </c>
      <c r="K28" s="60">
        <f>IF(H28=Year_Open_to_Traffic?,Calculations!$E$4,K27+(K27*M28))</f>
        <v>13666.546909075038</v>
      </c>
      <c r="L28" s="60">
        <f>IF(AND(H28&gt;=Year_Open_to_Traffic?, Calculations!H28&lt;Year_Open_to_Traffic?+'Inputs &amp; Outputs'!B$21), 1, 0)</f>
        <v>0</v>
      </c>
      <c r="M28" s="81">
        <f t="shared" si="11"/>
        <v>2.3078145534562555E-2</v>
      </c>
      <c r="N28" s="87">
        <f t="shared" si="12"/>
        <v>0.2879920492694763</v>
      </c>
      <c r="O28" s="88">
        <f t="shared" si="7"/>
        <v>1</v>
      </c>
      <c r="P28" s="84">
        <f t="shared" si="8"/>
        <v>0</v>
      </c>
      <c r="Q28" s="85">
        <f t="shared" si="0"/>
        <v>0</v>
      </c>
      <c r="R28" s="86">
        <f t="shared" si="1"/>
        <v>30.597743914768959</v>
      </c>
      <c r="S28" s="94">
        <f t="shared" si="2"/>
        <v>0</v>
      </c>
      <c r="T28" s="80">
        <f t="shared" si="9"/>
        <v>0</v>
      </c>
      <c r="W28" s="73"/>
    </row>
    <row r="29" spans="1:23" ht="14.25" x14ac:dyDescent="0.45">
      <c r="H29" s="15">
        <f t="shared" si="3"/>
        <v>2043</v>
      </c>
      <c r="I29" s="97">
        <f t="shared" si="10"/>
        <v>2052.1857226950324</v>
      </c>
      <c r="J29" s="60">
        <f t="shared" si="4"/>
        <v>14751.593841960765</v>
      </c>
      <c r="K29" s="60">
        <f>IF(H29=Year_Open_to_Traffic?,Calculations!$E$4,K28+(K28*M29))</f>
        <v>13981.945467597598</v>
      </c>
      <c r="L29" s="60">
        <f>IF(AND(H29&gt;=Year_Open_to_Traffic?, Calculations!H29&lt;Year_Open_to_Traffic?+'Inputs &amp; Outputs'!B$21), 1, 0)</f>
        <v>0</v>
      </c>
      <c r="M29" s="81">
        <f t="shared" si="11"/>
        <v>2.3078145534562555E-2</v>
      </c>
      <c r="N29" s="87">
        <f t="shared" si="12"/>
        <v>0.29463837169531421</v>
      </c>
      <c r="O29" s="88">
        <f t="shared" si="7"/>
        <v>1</v>
      </c>
      <c r="P29" s="84">
        <f t="shared" si="8"/>
        <v>0</v>
      </c>
      <c r="Q29" s="85">
        <f t="shared" si="0"/>
        <v>0</v>
      </c>
      <c r="R29" s="86">
        <f t="shared" si="1"/>
        <v>31.301492024808638</v>
      </c>
      <c r="S29" s="94">
        <f t="shared" si="2"/>
        <v>0</v>
      </c>
      <c r="T29" s="80">
        <f t="shared" si="9"/>
        <v>0</v>
      </c>
      <c r="W29" s="73"/>
    </row>
    <row r="30" spans="1:23" ht="14.25" x14ac:dyDescent="0.45">
      <c r="H30" s="15">
        <f t="shared" si="3"/>
        <v>2044</v>
      </c>
      <c r="I30" s="97">
        <f t="shared" si="10"/>
        <v>2099.5463634673397</v>
      </c>
      <c r="J30" s="60">
        <f t="shared" si="4"/>
        <v>15092.033271512291</v>
      </c>
      <c r="K30" s="60">
        <f>IF(H30=Year_Open_to_Traffic?,Calculations!$E$4,K29+(K29*M30))</f>
        <v>14304.622839955133</v>
      </c>
      <c r="L30" s="60">
        <f>IF(AND(H30&gt;=Year_Open_to_Traffic?, Calculations!H30&lt;Year_Open_to_Traffic?+'Inputs &amp; Outputs'!B$21), 1, 0)</f>
        <v>0</v>
      </c>
      <c r="M30" s="81">
        <f t="shared" si="11"/>
        <v>2.3078145534562555E-2</v>
      </c>
      <c r="N30" s="87">
        <f t="shared" si="12"/>
        <v>0.30143807891736518</v>
      </c>
      <c r="O30" s="88">
        <f t="shared" si="7"/>
        <v>1</v>
      </c>
      <c r="P30" s="84">
        <f t="shared" si="8"/>
        <v>0</v>
      </c>
      <c r="Q30" s="85">
        <f t="shared" si="0"/>
        <v>0</v>
      </c>
      <c r="R30" s="86">
        <f t="shared" si="1"/>
        <v>32.021426341379232</v>
      </c>
      <c r="S30" s="94">
        <f t="shared" si="2"/>
        <v>0</v>
      </c>
      <c r="T30" s="80">
        <f t="shared" si="9"/>
        <v>0</v>
      </c>
      <c r="W30" s="73"/>
    </row>
    <row r="31" spans="1:23" ht="14.25" x14ac:dyDescent="0.45">
      <c r="H31" s="15">
        <f t="shared" si="3"/>
        <v>2045</v>
      </c>
      <c r="I31" s="97">
        <f t="shared" si="10"/>
        <v>2148.0000000000005</v>
      </c>
      <c r="J31" s="60">
        <f t="shared" si="4"/>
        <v>15440.329411764713</v>
      </c>
      <c r="K31" s="60">
        <f>IF(H31=Year_Open_to_Traffic?,Calculations!$E$4,K30+(K30*M31))</f>
        <v>14634.747007672644</v>
      </c>
      <c r="L31" s="60">
        <f>IF(AND(H31&gt;=Year_Open_to_Traffic?, Calculations!H31&lt;Year_Open_to_Traffic?+'Inputs &amp; Outputs'!B$21), 1, 0)</f>
        <v>0</v>
      </c>
      <c r="M31" s="81">
        <f t="shared" si="11"/>
        <v>2.3078145534562555E-2</v>
      </c>
      <c r="N31" s="87">
        <f t="shared" si="12"/>
        <v>0.30839471077227909</v>
      </c>
      <c r="O31" s="88">
        <f t="shared" si="7"/>
        <v>1</v>
      </c>
      <c r="P31" s="84">
        <f t="shared" si="8"/>
        <v>0</v>
      </c>
      <c r="Q31" s="85">
        <f t="shared" si="0"/>
        <v>0</v>
      </c>
      <c r="R31" s="86">
        <f t="shared" si="1"/>
        <v>32.757919147230957</v>
      </c>
      <c r="S31" s="94">
        <f t="shared" si="2"/>
        <v>0</v>
      </c>
      <c r="T31" s="80">
        <f t="shared" si="9"/>
        <v>0</v>
      </c>
      <c r="W31" s="73"/>
    </row>
    <row r="32" spans="1:23" ht="14.25" x14ac:dyDescent="0.45">
      <c r="H32" s="15">
        <f t="shared" si="3"/>
        <v>2046</v>
      </c>
      <c r="I32" s="97">
        <f t="shared" si="10"/>
        <v>2197.571856608241</v>
      </c>
      <c r="J32" s="60">
        <f t="shared" si="4"/>
        <v>15796.663581031005</v>
      </c>
      <c r="K32" s="60">
        <f>IF(H32=Year_Open_to_Traffic?,Calculations!$E$4,K31+(K31*M32))</f>
        <v>14972.489828977217</v>
      </c>
      <c r="L32" s="60">
        <f>IF(AND(H32&gt;=Year_Open_to_Traffic?, Calculations!H32&lt;Year_Open_to_Traffic?+'Inputs &amp; Outputs'!B$21), 1, 0)</f>
        <v>0</v>
      </c>
      <c r="M32" s="81">
        <f t="shared" si="11"/>
        <v>2.3078145534562555E-2</v>
      </c>
      <c r="N32" s="87">
        <f t="shared" si="12"/>
        <v>0.31551188878957109</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2248.2877397377047</v>
      </c>
      <c r="J33" s="60">
        <f t="shared" si="4"/>
        <v>16161.221282114562</v>
      </c>
      <c r="K33" s="60">
        <f>IF(H33=Year_Open_to_Traffic?,Calculations!$E$4,K32+(K32*M33))</f>
        <v>15318.027128265112</v>
      </c>
      <c r="L33" s="60">
        <f>IF(AND(H33&gt;=Year_Open_to_Traffic?, Calculations!H33&lt;Year_Open_to_Traffic?+'Inputs &amp; Outputs'!B$21), 1, 0)</f>
        <v>0</v>
      </c>
      <c r="M33" s="81">
        <f t="shared" si="11"/>
        <v>2.3078145534562555E-2</v>
      </c>
      <c r="N33" s="87">
        <f t="shared" si="12"/>
        <v>0.3227933180769415</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2300.1740513989439</v>
      </c>
      <c r="J34" s="60">
        <f t="shared" si="4"/>
        <v>16534.192298879472</v>
      </c>
      <c r="K34" s="60">
        <f>IF(H34=Year_Open_to_Traffic?,Calculations!$E$4,K33+(K33*M34))</f>
        <v>15671.538787633592</v>
      </c>
      <c r="L34" s="60">
        <f>IF(AND(H34&gt;=Year_Open_to_Traffic?, Calculations!H34&lt;Year_Open_to_Traffic?+'Inputs &amp; Outputs'!B$21), 1, 0)</f>
        <v>0</v>
      </c>
      <c r="M34" s="81">
        <f t="shared" si="11"/>
        <v>2.3078145534562555E-2</v>
      </c>
      <c r="N34" s="87">
        <f t="shared" si="12"/>
        <v>0.3302427892491055</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2353.2578029119531</v>
      </c>
      <c r="J35" s="60">
        <f t="shared" si="4"/>
        <v>16915.770795049455</v>
      </c>
      <c r="K35" s="60">
        <f>IF(H35=Year_Open_to_Traffic?,Calculations!$E$4,K34+(K34*M35))</f>
        <v>16033.208840525142</v>
      </c>
      <c r="L35" s="60">
        <f>IF(AND(H35&gt;=Year_Open_to_Traffic?, Calculations!H35&lt;Year_Open_to_Traffic?+'Inputs &amp; Outputs'!B$21), 1, 0)</f>
        <v>0</v>
      </c>
      <c r="M35" s="81">
        <f t="shared" si="11"/>
        <v>2.3078145534562555E-2</v>
      </c>
      <c r="N35" s="87">
        <f t="shared" si="12"/>
        <v>0.33786418040113625</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2407.5666289679002</v>
      </c>
      <c r="J36" s="60">
        <f t="shared" si="4"/>
        <v>17306.15541528691</v>
      </c>
      <c r="K36" s="60">
        <f>IF(H36=Year_Open_to_Traffic?,Calculations!$E$4,K35+(K35*M36))</f>
        <v>16403.225567532816</v>
      </c>
      <c r="L36" s="60">
        <f>IF(AND(H36&gt;=Year_Open_to_Traffic?, Calculations!H36&lt;Year_Open_to_Traffic?+'Inputs &amp; Outputs'!B$21), 1, 0)</f>
        <v>0</v>
      </c>
      <c r="M36" s="81">
        <f t="shared" si="11"/>
        <v>2.3078145534562555E-2</v>
      </c>
      <c r="N36" s="87">
        <f t="shared" si="12"/>
        <v>0.34566145912734936</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202.40570243443045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ht="14.25" x14ac:dyDescent="0.45">
      <c r="B44" s="89" t="s">
        <v>109</v>
      </c>
      <c r="C44" s="99">
        <v>0.3</v>
      </c>
      <c r="D44" s="90">
        <v>0.2</v>
      </c>
      <c r="E44" s="90">
        <v>0.1</v>
      </c>
      <c r="F44" s="90">
        <v>0.3</v>
      </c>
      <c r="G44" s="96">
        <v>0.2</v>
      </c>
    </row>
    <row r="45" spans="2:7" ht="14.25" x14ac:dyDescent="0.4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2018-07-16T14:36:56Z</cp:lastPrinted>
  <dcterms:created xsi:type="dcterms:W3CDTF">2012-07-25T15:48:32Z</dcterms:created>
  <dcterms:modified xsi:type="dcterms:W3CDTF">2018-10-31T16:38:25Z</dcterms:modified>
</cp:coreProperties>
</file>