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4_FM1405/"/>
    </mc:Choice>
  </mc:AlternateContent>
  <xr:revisionPtr revIDLastSave="27" documentId="8_{CB5076E5-1F40-4FDA-A914-FCB6D8CFA00A}" xr6:coauthVersionLast="40" xr6:coauthVersionMax="40" xr10:uidLastSave="{4E0513C1-DFD3-4F5D-9667-FF6290176F9A}"/>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<sst xmlns="http://schemas.openxmlformats.org/spreadsheetml/2006/main" count="292" uniqueCount="238">
  <si>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</si>
  <si>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</si>
  <si>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</si>
  <si>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</si>
  <si>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</si>
  <si>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</si>
  <si>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</si>
  <si>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</si>
  <si>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</si>
  <si>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</si>
  <si>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</si>
  <si>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</si>
  <si>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</si>
  <si>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</si>
  <si>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</si>
  <si>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</si>
  <si>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</si>
  <si>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</si>
  <si>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</si>
  <si>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</si>
  <si>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</si>
  <si>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</si>
  <si>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</si>
  <si>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</si>
  <si>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</si>
  <si>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</si>
  <si>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</si>
  <si>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</si>
  <si>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</si>
  <si>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</si>
  <si>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</si>
  <si>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</si>
  <si>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</si>
  <si>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</si>
  <si>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</si>
  <si>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</si>
  <si>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</si>
  <si>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</si>
  <si>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</si>
  <si>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</si>
  <si>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</si>
  <si>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</si>
  <si>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</si>
  <si>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</si>
  <si>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</si>
  <si>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</si>
  <si>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</si>
  <si>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</si>
  <si>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</si>
  <si>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1405 Widening</t>
  </si>
  <si>
    <t>Data entered by the sponsors</t>
  </si>
  <si>
    <t>County</t>
  </si>
  <si>
    <t>Chambers</t>
  </si>
  <si>
    <t>HGAC regional travel demand model data provided by HGAC</t>
  </si>
  <si>
    <t>Facility Type</t>
  </si>
  <si>
    <t>Non Freeway</t>
  </si>
  <si>
    <t>Data populated/calculated based on inputs</t>
  </si>
  <si>
    <t>Street Name:</t>
  </si>
  <si>
    <t>FM 1405</t>
  </si>
  <si>
    <t>Benefits calculated by the template</t>
  </si>
  <si>
    <t>Limits (From)</t>
  </si>
  <si>
    <t>SH 146</t>
  </si>
  <si>
    <t>Limits (To)</t>
  </si>
  <si>
    <t>SH 99</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</si>
  <si>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</si>
  <si>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</si>
  <si>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</si>
  <si>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</si>
  <si>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</si>
  <si>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</si>
  <si>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</si>
  <si>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</si>
  <si>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</si>
  <si>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</si>
  <si>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</si>
  <si>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</si>
  <si>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</si>
  <si>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</si>
  <si>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</si>
  <si>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</si>
  <si>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</si>
  <si>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</si>
  <si>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</si>
  <si>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</si>
  <si>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</si>
  <si>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</si>
  <si>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</si>
  <si>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</si>
  <si>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</si>
  <si>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</si>
  <si>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</si>
  <si>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</si>
  <si>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</si>
  <si>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</si>
  <si>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</si>
  <si>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</si>
  <si>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</si>
  <si>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</si>
  <si>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</si>
  <si>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</si>
  <si>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</si>
  <si>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</si>
  <si>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</si>
  <si>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</si>
  <si>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</si>
  <si>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</si>
  <si>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</si>
  <si>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</si>
  <si>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</si>
  <si>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</si>
  <si>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</si>
  <si>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</si>
  <si>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</si>
  <si>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</si>
  <si>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</si>
  <si>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</si>
  <si>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</si>
  <si>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</si>
  <si>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</si>
  <si>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</si>
  <si>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</si>
  <si>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</si>
  <si>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</si>
  <si>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</si>
  <si>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</si>
  <si>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</si>
  <si>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</si>
  <si>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</si>
  <si>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</si>
  <si>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</si>
  <si>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</si>
  <si>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</si>
  <si>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</si>
  <si>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</si>
  <si>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</si>
  <si>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</si>
  <si>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</si>
  <si>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</si>
  <si>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</si>
  <si>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</si>
  <si>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</si>
  <si>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</si>
  <si>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</si>
  <si>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</si>
  <si>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</si>
  <si>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</si>
  <si>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</si>
  <si>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</si>
  <si>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</si>
  <si>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</si>
  <si>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</si>
  <si>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</si>
  <si>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</si>
  <si>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</si>
  <si>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</si>
  <si>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</si>
  <si>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</si>
  <si>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</si>
  <si>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</si>
  <si>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Bottleneck Removal</t>
  </si>
  <si>
    <t>Fort Bend</t>
  </si>
  <si>
    <t xml:space="preserve">Freight Shuttle System </t>
  </si>
  <si>
    <t>Galveston</t>
  </si>
  <si>
    <t xml:space="preserve">Grade Separation </t>
  </si>
  <si>
    <t>Harris</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</si>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</sst>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6" zoomScale="115" zoomScaleNormal="115" workbookViewId="0" xr3:uid="{51F8DEE0-4D01-5F28-A812-FC0BD7CAC4A5}">
      <selection activeCell="B14" sqref="B14"/>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30">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4.5999999999999996</v>
      </c>
    </row>
    <row r="13" spans="1:7">
      <c r="A13" s="7" t="s">
        <v>65</v>
      </c>
      <c r="B13" s="116">
        <v>242</v>
      </c>
      <c r="F13" s="99"/>
    </row>
    <row r="14" spans="1:7">
      <c r="A14" s="7" t="s">
        <v>66</v>
      </c>
      <c r="B14" s="116" t="s">
        <v>67</v>
      </c>
    </row>
    <row r="17" spans="1:7">
      <c r="A17" s="98" t="s">
        <v>68</v>
      </c>
      <c r="E17" s="130" t="s">
        <v>69</v>
      </c>
      <c r="F17" s="131"/>
    </row>
    <row r="18" spans="1:7">
      <c r="A18" s="7" t="s">
        <v>70</v>
      </c>
      <c r="B18" s="117">
        <v>2026</v>
      </c>
      <c r="E18" s="87" t="s">
        <v>71</v>
      </c>
      <c r="F18" s="122">
        <f>$B$12/$B$32</f>
        <v>8.5185185185185183E-2</v>
      </c>
    </row>
    <row r="19" spans="1:7" ht="30">
      <c r="A19" s="7" t="s">
        <v>72</v>
      </c>
      <c r="B19" s="118" t="s">
        <v>73</v>
      </c>
      <c r="E19" s="89" t="s">
        <v>74</v>
      </c>
      <c r="F19" s="123">
        <f>$B$12/$B$33</f>
        <v>0.10222222222222221</v>
      </c>
    </row>
    <row r="20" spans="1:7" ht="30">
      <c r="A20" s="113" t="s">
        <v>75</v>
      </c>
      <c r="B20" s="114">
        <f>VLOOKUP(B19,'Delay Reduction Factors'!B4:C80,2, FALSE)</f>
        <v>0.4</v>
      </c>
      <c r="E20" s="89" t="s">
        <v>76</v>
      </c>
      <c r="F20" s="122">
        <f>$F$19-$F$18</f>
        <v>1.7037037037037031E-2</v>
      </c>
    </row>
    <row r="21" spans="1:7">
      <c r="A21" s="7" t="s">
        <v>77</v>
      </c>
      <c r="B21" s="63">
        <v>20</v>
      </c>
      <c r="D21" s="100"/>
      <c r="E21" s="87" t="s">
        <v>78</v>
      </c>
      <c r="F21" s="122">
        <f>$F$20*$B$20</f>
        <v>6.8148148148148126E-3</v>
      </c>
      <c r="G21" s="101"/>
    </row>
    <row r="22" spans="1:7">
      <c r="D22" s="100"/>
      <c r="E22" s="87" t="s">
        <v>79</v>
      </c>
      <c r="F22" s="122">
        <f>$F$20-$F$21</f>
        <v>1.0222222222222219E-2</v>
      </c>
      <c r="G22" s="101"/>
    </row>
    <row r="23" spans="1:7">
      <c r="E23" s="87" t="s">
        <v>80</v>
      </c>
      <c r="F23" s="122">
        <f>$F$18+$F$22</f>
        <v>9.5407407407407399E-2</v>
      </c>
    </row>
    <row r="24" spans="1:7">
      <c r="A24" s="98" t="s">
        <v>81</v>
      </c>
      <c r="B24" s="102"/>
      <c r="D24" s="100"/>
    </row>
    <row r="25" spans="1:7">
      <c r="A25" s="7" t="s">
        <v>82</v>
      </c>
      <c r="B25" s="126">
        <v>6446</v>
      </c>
      <c r="D25" s="100"/>
    </row>
    <row r="28" spans="1:7">
      <c r="A28" s="87" t="s">
        <v>83</v>
      </c>
      <c r="B28" s="112">
        <f>IF(FacilityType='Delay Reduction Factors'!N5,'Inputs &amp; Outputs'!B25*45%, B25*43%)</f>
        <v>2771.7799999999997</v>
      </c>
      <c r="D28" s="100"/>
      <c r="E28" s="103" t="s">
        <v>84</v>
      </c>
      <c r="F28" s="104" t="s">
        <v>2</v>
      </c>
      <c r="G28" s="105" t="s">
        <v>85</v>
      </c>
    </row>
    <row r="29" spans="1:7">
      <c r="A29" s="87" t="s">
        <v>86</v>
      </c>
      <c r="B29" s="95">
        <f>VLOOKUP(Year_Open_to_Traffic?,Calculations!H4:I36,2)</f>
        <v>3929.6401237555106</v>
      </c>
      <c r="D29" s="100"/>
      <c r="E29" s="89" t="s">
        <v>87</v>
      </c>
      <c r="F29" s="83">
        <f>$B$29*$F$23</f>
        <v>374.9167762516368</v>
      </c>
      <c r="G29" s="84">
        <f>$B$29*$F$19</f>
        <v>401.69654598389661</v>
      </c>
    </row>
    <row r="30" spans="1:7">
      <c r="B30" s="82"/>
      <c r="D30" s="100"/>
    </row>
    <row r="32" spans="1:7">
      <c r="A32" s="106" t="s">
        <v>88</v>
      </c>
      <c r="B32" s="119">
        <v>54</v>
      </c>
      <c r="D32" s="100"/>
    </row>
    <row r="33" spans="1:7" ht="30">
      <c r="A33" s="107" t="s">
        <v>89</v>
      </c>
      <c r="B33" s="120">
        <v>45</v>
      </c>
      <c r="D33" s="100"/>
      <c r="E33" s="100"/>
      <c r="F33" s="108"/>
    </row>
    <row r="34" spans="1:7">
      <c r="A34" s="109"/>
      <c r="B34" s="121"/>
      <c r="F34" s="108"/>
      <c r="G34" s="108"/>
    </row>
    <row r="35" spans="1:7">
      <c r="A35" s="87" t="s">
        <v>90</v>
      </c>
      <c r="B35" s="125">
        <f>$B$28</f>
        <v>2771.7799999999997</v>
      </c>
    </row>
    <row r="36" spans="1:7">
      <c r="A36" s="106" t="s">
        <v>91</v>
      </c>
      <c r="B36" s="119">
        <v>10360</v>
      </c>
    </row>
    <row r="37" spans="1:7">
      <c r="A37" s="106" t="s">
        <v>92</v>
      </c>
      <c r="B37" s="119">
        <v>3906</v>
      </c>
    </row>
    <row r="38" spans="1:7">
      <c r="A38" s="106" t="s">
        <v>93</v>
      </c>
      <c r="B38" s="119">
        <v>10360</v>
      </c>
    </row>
    <row r="39" spans="1:7">
      <c r="A39" s="106" t="s">
        <v>94</v>
      </c>
      <c r="B39" s="119">
        <v>4407</v>
      </c>
    </row>
    <row r="40" spans="1:7">
      <c r="A40" s="106" t="s">
        <v>95</v>
      </c>
      <c r="B40" s="119">
        <v>19908</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1697.7135270962169</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97478.361825425571</v>
      </c>
      <c r="F4" s="21">
        <f>'Inputs &amp; Outputs'!G29*Annual_Days_of_Travel</f>
        <v>104441.10195581312</v>
      </c>
      <c r="H4" s="49">
        <v>2018</v>
      </c>
      <c r="I4" s="50">
        <f>'Inputs &amp; Outputs'!B28</f>
        <v>2771.7799999999997</v>
      </c>
      <c r="J4" s="50">
        <f>IF(H4=Year_Open_to_Traffic?,$F$4,0)</f>
        <v>0</v>
      </c>
      <c r="K4" s="50">
        <f>IF(H4=Year_Open_to_Traffic?,Calculations!$E$4,0)</f>
        <v>0</v>
      </c>
      <c r="L4" s="50">
        <f>IF(AND(H4&gt;=Year_Open_to_Traffic?, Calculations!H4&lt;Year_Open_to_Traffic?+'Inputs &amp; Outputs'!B$21), 1, 0)</f>
        <v>0</v>
      </c>
      <c r="M4" s="65" t="s">
        <v>111</v>
      </c>
      <c r="N4" s="66">
        <f>MIN(E8,1)</f>
        <v>0.26754633204633205</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5.0223969408873304E-2</v>
      </c>
      <c r="F5" s="26"/>
      <c r="H5" s="14">
        <f t="shared" ref="H5:H36" si="3">H4+1</f>
        <v>2019</v>
      </c>
      <c r="I5" s="79">
        <f>(I4*M5)+I4</f>
        <v>2910.9897939281263</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5.0223969408873304E-2</v>
      </c>
      <c r="N5" s="71">
        <f t="shared" ref="N5:N11" si="6">N4*(1+IFERROR(_2018_2025_V_C_Growth,_2018_2045_V_C_Growth))</f>
        <v>0.28098357084248327</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6.0522590259888265E-3</v>
      </c>
      <c r="F6" s="26"/>
      <c r="H6" s="49">
        <f t="shared" si="3"/>
        <v>2020</v>
      </c>
      <c r="I6" s="79">
        <f t="shared" ref="I6:I36" si="10">(I5*M6)+I5</f>
        <v>3057.1912562879152</v>
      </c>
      <c r="J6" s="50">
        <f t="shared" si="4"/>
        <v>0</v>
      </c>
      <c r="K6" s="50">
        <f>IF(H6=Year_Open_to_Traffic?,Calculations!$E$4,K5+(K5*M6))</f>
        <v>0</v>
      </c>
      <c r="L6" s="50">
        <f>IF(AND(H6&gt;=Year_Open_to_Traffic?, Calculations!H6&lt;Year_Open_to_Traffic?+'Inputs &amp; Outputs'!B$21), 1, 0)</f>
        <v>0</v>
      </c>
      <c r="M6" s="65">
        <f t="shared" si="5"/>
        <v>5.0223969408873304E-2</v>
      </c>
      <c r="N6" s="71">
        <f t="shared" si="6"/>
        <v>0.29509568110887213</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1.7322564894400205E-2</v>
      </c>
      <c r="F7" s="26"/>
      <c r="H7" s="14">
        <f t="shared" si="3"/>
        <v>2021</v>
      </c>
      <c r="I7" s="79">
        <f t="shared" si="10"/>
        <v>3210.7355364207942</v>
      </c>
      <c r="J7" s="50">
        <f t="shared" si="4"/>
        <v>0</v>
      </c>
      <c r="K7" s="50">
        <f>IF(H7=Year_Open_to_Traffic?,Calculations!$E$4,K6+(K6*M7))</f>
        <v>0</v>
      </c>
      <c r="L7" s="50">
        <f>IF(AND(H7&gt;=Year_Open_to_Traffic?, Calculations!H7&lt;Year_Open_to_Traffic?+'Inputs &amp; Outputs'!B$21), 1, 0)</f>
        <v>0</v>
      </c>
      <c r="M7" s="65">
        <f t="shared" si="5"/>
        <v>5.0223969408873304E-2</v>
      </c>
      <c r="N7" s="71">
        <f t="shared" si="6"/>
        <v>0.30991655756957476</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0.26754633204633205</v>
      </c>
      <c r="F8" s="26"/>
      <c r="H8" s="49">
        <f t="shared" si="3"/>
        <v>2022</v>
      </c>
      <c r="I8" s="79">
        <f t="shared" si="10"/>
        <v>3371.9914197819744</v>
      </c>
      <c r="J8" s="50">
        <f t="shared" si="4"/>
        <v>0</v>
      </c>
      <c r="K8" s="50">
        <f>IF(H8=Year_Open_to_Traffic?,Calculations!$E$4,K7+(K7*M8))</f>
        <v>0</v>
      </c>
      <c r="L8" s="50">
        <f>IF(AND(H8&gt;=Year_Open_to_Traffic?, Calculations!H8&lt;Year_Open_to_Traffic?+'Inputs &amp; Outputs'!B$21), 1, 0)</f>
        <v>0</v>
      </c>
      <c r="M8" s="65">
        <f t="shared" si="5"/>
        <v>5.0223969408873304E-2</v>
      </c>
      <c r="N8" s="71">
        <f t="shared" si="6"/>
        <v>0.32548179727625243</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0.37702702702702701</v>
      </c>
      <c r="F9" s="26"/>
      <c r="H9" s="14">
        <f t="shared" si="3"/>
        <v>2023</v>
      </c>
      <c r="I9" s="79">
        <f t="shared" si="10"/>
        <v>3541.3462136960875</v>
      </c>
      <c r="J9" s="50">
        <f t="shared" si="4"/>
        <v>0</v>
      </c>
      <c r="K9" s="50">
        <f>IF(H9=Year_Open_to_Traffic?,Calculations!$E$4,K8+(K8*M9))</f>
        <v>0</v>
      </c>
      <c r="L9" s="50">
        <f>IF(AND(H9&gt;=Year_Open_to_Traffic?, Calculations!H9&lt;Year_Open_to_Traffic?+'Inputs &amp; Outputs'!B$21), 1, 0)</f>
        <v>0</v>
      </c>
      <c r="M9" s="65">
        <f t="shared" si="5"/>
        <v>5.0223969408873304E-2</v>
      </c>
      <c r="N9" s="71">
        <f t="shared" si="6"/>
        <v>0.3418287851058</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0.22136829415310427</v>
      </c>
      <c r="F10" s="26"/>
      <c r="H10" s="49">
        <f t="shared" si="3"/>
        <v>2024</v>
      </c>
      <c r="I10" s="79">
        <f t="shared" si="10"/>
        <v>3719.2066775989892</v>
      </c>
      <c r="J10" s="50">
        <f t="shared" si="4"/>
        <v>0</v>
      </c>
      <c r="K10" s="50">
        <f>IF(H10=Year_Open_to_Traffic?,Calculations!$E$4,K9+(K9*M10))</f>
        <v>0</v>
      </c>
      <c r="L10" s="50">
        <f>IF(AND(H10&gt;=Year_Open_to_Traffic?, Calculations!H10&lt;Year_Open_to_Traffic?+'Inputs &amp; Outputs'!B$21), 1, 0)</f>
        <v>0</v>
      </c>
      <c r="M10" s="65">
        <f t="shared" si="5"/>
        <v>5.0223969408873304E-2</v>
      </c>
      <c r="N10" s="71">
        <f t="shared" si="6"/>
        <v>0.35899678355202602</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5.0223969408873304E-2</v>
      </c>
      <c r="F11" s="26"/>
      <c r="H11" s="14">
        <f t="shared" si="3"/>
        <v>2025</v>
      </c>
      <c r="I11" s="79">
        <f t="shared" si="10"/>
        <v>3905.9999999999982</v>
      </c>
      <c r="J11" s="50">
        <f t="shared" si="4"/>
        <v>0</v>
      </c>
      <c r="K11" s="50">
        <f>IF(H11=Year_Open_to_Traffic?,Calculations!$E$4,K10+(K10*M11))</f>
        <v>0</v>
      </c>
      <c r="L11" s="50">
        <f>IF(AND(H11&gt;=Year_Open_to_Traffic?, Calculations!H11&lt;Year_Open_to_Traffic?+'Inputs &amp; Outputs'!B$21), 1, 0)</f>
        <v>0</v>
      </c>
      <c r="M11" s="65">
        <f t="shared" si="5"/>
        <v>5.0223969408873304E-2</v>
      </c>
      <c r="N11" s="71">
        <f t="shared" si="6"/>
        <v>0.3770270270270269</v>
      </c>
      <c r="O11" s="72">
        <f t="shared" si="7"/>
        <v>1</v>
      </c>
      <c r="P11" s="68">
        <f t="shared" si="8"/>
        <v>0</v>
      </c>
      <c r="Q11" s="69">
        <f t="shared" si="0"/>
        <v>0</v>
      </c>
      <c r="R11" s="70">
        <f t="shared" si="1"/>
        <v>20.787565583925574</v>
      </c>
      <c r="S11" s="77">
        <f t="shared" si="2"/>
        <v>0</v>
      </c>
      <c r="T11" s="64">
        <f t="shared" si="9"/>
        <v>0</v>
      </c>
      <c r="W11" s="58"/>
    </row>
    <row r="12" spans="1:24">
      <c r="A12" s="17" t="s">
        <v>123</v>
      </c>
      <c r="B12" s="18">
        <v>0.45</v>
      </c>
      <c r="D12" s="17" t="s">
        <v>124</v>
      </c>
      <c r="E12" s="39">
        <f>(E10/E9)^(1/(2045-2025))-1</f>
        <v>-2.6273147457476553E-2</v>
      </c>
      <c r="F12" s="26"/>
      <c r="H12" s="49">
        <v>2026</v>
      </c>
      <c r="I12" s="79">
        <f t="shared" si="10"/>
        <v>3929.6401237555106</v>
      </c>
      <c r="J12" s="50">
        <f t="shared" si="4"/>
        <v>104441.10195581312</v>
      </c>
      <c r="K12" s="50">
        <f>IF(H12=Year_Open_to_Traffic?,Calculations!$E$4,K11+(K11*M12))</f>
        <v>97478.361825425571</v>
      </c>
      <c r="L12" s="50">
        <f>IF(AND(H12&gt;=Year_Open_to_Traffic?, Calculations!H12&lt;Year_Open_to_Traffic?+'Inputs &amp; Outputs'!B$21), 1, 0)</f>
        <v>1</v>
      </c>
      <c r="M12" s="65">
        <f t="shared" ref="M12:M36" si="11">IFERROR(_2025_2045_Demand_Growth,_2018_2045_Demand_Growth)</f>
        <v>6.0522590259888265E-3</v>
      </c>
      <c r="N12" s="71">
        <f t="shared" ref="N12:N36" si="12">N11*(1+IFERROR(_2025_2045_V_C_Growth,_2018_2045_V_C_Growth))</f>
        <v>0.36712134035049182</v>
      </c>
      <c r="O12" s="72">
        <f t="shared" si="7"/>
        <v>1</v>
      </c>
      <c r="P12" s="68">
        <f t="shared" si="8"/>
        <v>6962.7401303875522</v>
      </c>
      <c r="Q12" s="69">
        <f t="shared" si="0"/>
        <v>1</v>
      </c>
      <c r="R12" s="70">
        <f t="shared" si="1"/>
        <v>21.265679592355859</v>
      </c>
      <c r="S12" s="77">
        <f t="shared" si="2"/>
        <v>205.81368696974701</v>
      </c>
      <c r="T12" s="64">
        <f t="shared" si="9"/>
        <v>119.78543966049158</v>
      </c>
      <c r="W12" s="58"/>
    </row>
    <row r="13" spans="1:24">
      <c r="A13" s="17" t="s">
        <v>55</v>
      </c>
      <c r="B13" s="18">
        <v>0.43</v>
      </c>
      <c r="D13" s="17" t="s">
        <v>125</v>
      </c>
      <c r="E13" s="39">
        <f>(E10/E8)^(1/(2045-2018))-1</f>
        <v>-6.9926572198539816E-3</v>
      </c>
      <c r="F13" s="26"/>
      <c r="H13" s="14">
        <f t="shared" si="3"/>
        <v>2027</v>
      </c>
      <c r="I13" s="79">
        <f t="shared" si="10"/>
        <v>3953.4233236633977</v>
      </c>
      <c r="J13" s="50">
        <f t="shared" si="4"/>
        <v>105073.20655780942</v>
      </c>
      <c r="K13" s="50">
        <f>IF(H13=Year_Open_to_Traffic?,Calculations!$E$4,K12+(K12*M13))</f>
        <v>98068.326120622107</v>
      </c>
      <c r="L13" s="50">
        <f>IF(AND(H13&gt;=Year_Open_to_Traffic?, Calculations!H13&lt;Year_Open_to_Traffic?+'Inputs &amp; Outputs'!B$21), 1, 0)</f>
        <v>1</v>
      </c>
      <c r="M13" s="65">
        <f t="shared" si="11"/>
        <v>6.0522590259888265E-3</v>
      </c>
      <c r="N13" s="71">
        <f t="shared" si="12"/>
        <v>0.3574759072406769</v>
      </c>
      <c r="O13" s="72">
        <f t="shared" si="7"/>
        <v>1</v>
      </c>
      <c r="P13" s="68">
        <f t="shared" si="8"/>
        <v>7004.8804371873121</v>
      </c>
      <c r="Q13" s="69">
        <f t="shared" si="0"/>
        <v>1</v>
      </c>
      <c r="R13" s="70">
        <f t="shared" si="1"/>
        <v>21.754790222980041</v>
      </c>
      <c r="S13" s="77">
        <f t="shared" si="2"/>
        <v>211.82168918281269</v>
      </c>
      <c r="T13" s="64">
        <f t="shared" si="9"/>
        <v>115.21696415770344</v>
      </c>
      <c r="W13" s="58"/>
    </row>
    <row r="14" spans="1:24">
      <c r="H14" s="49">
        <f>H13+1</f>
        <v>2028</v>
      </c>
      <c r="I14" s="79">
        <f t="shared" si="10"/>
        <v>3977.3504656575942</v>
      </c>
      <c r="J14" s="50">
        <f t="shared" si="4"/>
        <v>105709.13682058851</v>
      </c>
      <c r="K14" s="50">
        <f>IF(H14=Year_Open_to_Traffic?,Calculations!$E$4,K13+(K13*M14))</f>
        <v>98661.861032549263</v>
      </c>
      <c r="L14" s="50">
        <f>IF(AND(H14&gt;=Year_Open_to_Traffic?, Calculations!H14&lt;Year_Open_to_Traffic?+'Inputs &amp; Outputs'!B$21), 1, 0)</f>
        <v>1</v>
      </c>
      <c r="M14" s="65">
        <f t="shared" si="11"/>
        <v>6.0522590259888265E-3</v>
      </c>
      <c r="N14" s="71">
        <f t="shared" si="12"/>
        <v>0.34808389001724738</v>
      </c>
      <c r="O14" s="72">
        <f t="shared" si="7"/>
        <v>1</v>
      </c>
      <c r="P14" s="68">
        <f t="shared" si="8"/>
        <v>7047.2757880392455</v>
      </c>
      <c r="Q14" s="69">
        <f t="shared" si="0"/>
        <v>1</v>
      </c>
      <c r="R14" s="70">
        <f t="shared" si="1"/>
        <v>22.255150398108579</v>
      </c>
      <c r="S14" s="77">
        <f t="shared" si="2"/>
        <v>218.00507375806995</v>
      </c>
      <c r="T14" s="64">
        <f t="shared" si="9"/>
        <v>110.82272492669181</v>
      </c>
      <c r="W14" s="58"/>
    </row>
    <row r="15" spans="1:24">
      <c r="H15" s="14">
        <f t="shared" si="3"/>
        <v>2029</v>
      </c>
      <c r="I15" s="79">
        <f t="shared" si="10"/>
        <v>4001.4224209128911</v>
      </c>
      <c r="J15" s="50">
        <f t="shared" si="4"/>
        <v>106348.9158980404</v>
      </c>
      <c r="K15" s="50">
        <f>IF(H15=Year_Open_to_Traffic?,Calculations!$E$4,K14+(K14*M15))</f>
        <v>99258.988171504359</v>
      </c>
      <c r="L15" s="50">
        <f>IF(AND(H15&gt;=Year_Open_to_Traffic?, Calculations!H15&lt;Year_Open_to_Traffic?+'Inputs &amp; Outputs'!B$21), 1, 0)</f>
        <v>1</v>
      </c>
      <c r="M15" s="65">
        <f t="shared" si="11"/>
        <v>6.0522590259888265E-3</v>
      </c>
      <c r="N15" s="71">
        <f t="shared" si="12"/>
        <v>0.33893863064725216</v>
      </c>
      <c r="O15" s="72">
        <f t="shared" si="7"/>
        <v>1</v>
      </c>
      <c r="P15" s="68">
        <f t="shared" si="8"/>
        <v>7089.9277265360433</v>
      </c>
      <c r="Q15" s="69">
        <f t="shared" si="0"/>
        <v>1</v>
      </c>
      <c r="R15" s="70">
        <f t="shared" si="1"/>
        <v>22.767018857265079</v>
      </c>
      <c r="S15" s="77">
        <f t="shared" si="2"/>
        <v>224.36896036290273</v>
      </c>
      <c r="T15" s="64">
        <f t="shared" si="9"/>
        <v>106.59607680138704</v>
      </c>
      <c r="W15" s="58"/>
    </row>
    <row r="16" spans="1:24">
      <c r="H16" s="49">
        <f t="shared" si="3"/>
        <v>2030</v>
      </c>
      <c r="I16" s="79">
        <f t="shared" si="10"/>
        <v>4025.6400658766552</v>
      </c>
      <c r="J16" s="50">
        <f t="shared" si="4"/>
        <v>106992.56708418844</v>
      </c>
      <c r="K16" s="50">
        <f>IF(H16=Year_Open_to_Traffic?,Calculations!$E$4,K15+(K15*M16))</f>
        <v>99859.729278575862</v>
      </c>
      <c r="L16" s="50">
        <f>IF(AND(H16&gt;=Year_Open_to_Traffic?, Calculations!H16&lt;Year_Open_to_Traffic?+'Inputs &amp; Outputs'!B$21), 1, 0)</f>
        <v>1</v>
      </c>
      <c r="M16" s="65">
        <f t="shared" si="11"/>
        <v>6.0522590259888265E-3</v>
      </c>
      <c r="N16" s="71">
        <f t="shared" si="12"/>
        <v>0.33003364602522173</v>
      </c>
      <c r="O16" s="72">
        <f t="shared" si="7"/>
        <v>1</v>
      </c>
      <c r="P16" s="68">
        <f t="shared" si="8"/>
        <v>7132.8378056125803</v>
      </c>
      <c r="Q16" s="69">
        <f t="shared" si="0"/>
        <v>1</v>
      </c>
      <c r="R16" s="70">
        <f t="shared" si="1"/>
        <v>23.290660290982171</v>
      </c>
      <c r="S16" s="77">
        <f t="shared" si="2"/>
        <v>230.91861811526428</v>
      </c>
      <c r="T16" s="64">
        <f t="shared" si="9"/>
        <v>102.53062805452164</v>
      </c>
      <c r="W16" s="58"/>
    </row>
    <row r="17" spans="1:23">
      <c r="A17" s="27"/>
      <c r="H17" s="14">
        <f t="shared" si="3"/>
        <v>2031</v>
      </c>
      <c r="I17" s="79">
        <f t="shared" si="10"/>
        <v>4050.0042823007393</v>
      </c>
      <c r="J17" s="50">
        <f t="shared" si="4"/>
        <v>107640.11381403744</v>
      </c>
      <c r="K17" s="50">
        <f>IF(H17=Year_Open_to_Traffic?,Calculations!$E$4,K16+(K16*M17))</f>
        <v>100464.10622643492</v>
      </c>
      <c r="L17" s="50">
        <f>IF(AND(H17&gt;=Year_Open_to_Traffic?, Calculations!H17&lt;Year_Open_to_Traffic?+'Inputs &amp; Outputs'!B$21), 1, 0)</f>
        <v>1</v>
      </c>
      <c r="M17" s="65">
        <f t="shared" si="11"/>
        <v>6.0522590259888265E-3</v>
      </c>
      <c r="N17" s="71">
        <f t="shared" si="12"/>
        <v>0.32136262337727245</v>
      </c>
      <c r="O17" s="72">
        <f t="shared" si="7"/>
        <v>1</v>
      </c>
      <c r="P17" s="68">
        <f t="shared" si="8"/>
        <v>7176.0075876025221</v>
      </c>
      <c r="Q17" s="69">
        <f t="shared" si="0"/>
        <v>1</v>
      </c>
      <c r="R17" s="70">
        <f t="shared" si="1"/>
        <v>23.82634547767476</v>
      </c>
      <c r="S17" s="77">
        <f t="shared" si="2"/>
        <v>237.65946994636002</v>
      </c>
      <c r="T17" s="64">
        <f t="shared" si="9"/>
        <v>98.620230731773788</v>
      </c>
      <c r="W17" s="58"/>
    </row>
    <row r="18" spans="1:23">
      <c r="H18" s="49">
        <f t="shared" si="3"/>
        <v>2032</v>
      </c>
      <c r="I18" s="79">
        <f t="shared" si="10"/>
        <v>4074.5159572735874</v>
      </c>
      <c r="J18" s="50">
        <f t="shared" si="4"/>
        <v>108291.57966442691</v>
      </c>
      <c r="K18" s="50">
        <f>IF(H18=Year_Open_to_Traffic?,Calculations!$E$4,K17+(K17*M18))</f>
        <v>101072.14102013176</v>
      </c>
      <c r="L18" s="50">
        <f>IF(AND(H18&gt;=Year_Open_to_Traffic?, Calculations!H18&lt;Year_Open_to_Traffic?+'Inputs &amp; Outputs'!B$21), 1, 0)</f>
        <v>1</v>
      </c>
      <c r="M18" s="65">
        <f t="shared" si="11"/>
        <v>6.0522590259888265E-3</v>
      </c>
      <c r="N18" s="71">
        <f t="shared" si="12"/>
        <v>0.31291941578595989</v>
      </c>
      <c r="O18" s="72">
        <f t="shared" si="7"/>
        <v>1</v>
      </c>
      <c r="P18" s="68">
        <f t="shared" si="8"/>
        <v>7219.4386442951509</v>
      </c>
      <c r="Q18" s="69">
        <f t="shared" si="0"/>
        <v>1</v>
      </c>
      <c r="R18" s="70">
        <f t="shared" si="1"/>
        <v>24.374351423661277</v>
      </c>
      <c r="S18" s="77">
        <f t="shared" si="2"/>
        <v>244.59709709067894</v>
      </c>
      <c r="T18" s="64">
        <f t="shared" si="9"/>
        <v>94.858971354553859</v>
      </c>
      <c r="W18" s="58"/>
    </row>
    <row r="19" spans="1:23">
      <c r="H19" s="14">
        <f t="shared" si="3"/>
        <v>2033</v>
      </c>
      <c r="I19" s="79">
        <f t="shared" si="10"/>
        <v>4099.1759832525322</v>
      </c>
      <c r="J19" s="50">
        <f t="shared" si="4"/>
        <v>108946.98835488953</v>
      </c>
      <c r="K19" s="50">
        <f>IF(H19=Year_Open_to_Traffic?,Calculations!$E$4,K18+(K18*M19))</f>
        <v>101683.85579789687</v>
      </c>
      <c r="L19" s="50">
        <f>IF(AND(H19&gt;=Year_Open_to_Traffic?, Calculations!H19&lt;Year_Open_to_Traffic?+'Inputs &amp; Outputs'!B$21), 1, 0)</f>
        <v>1</v>
      </c>
      <c r="M19" s="65">
        <f t="shared" si="11"/>
        <v>6.0522590259888265E-3</v>
      </c>
      <c r="N19" s="71">
        <f t="shared" si="12"/>
        <v>0.30469803783270794</v>
      </c>
      <c r="O19" s="72">
        <f t="shared" si="7"/>
        <v>1</v>
      </c>
      <c r="P19" s="68">
        <f t="shared" si="8"/>
        <v>7263.1325569926557</v>
      </c>
      <c r="Q19" s="69">
        <f t="shared" si="0"/>
        <v>1</v>
      </c>
      <c r="R19" s="70">
        <f t="shared" si="1"/>
        <v>24.934961506405479</v>
      </c>
      <c r="S19" s="77">
        <f t="shared" si="2"/>
        <v>251.73724370709985</v>
      </c>
      <c r="T19" s="64">
        <f t="shared" si="9"/>
        <v>91.24116197737699</v>
      </c>
      <c r="W19" s="58"/>
    </row>
    <row r="20" spans="1:23">
      <c r="H20" s="49">
        <f t="shared" si="3"/>
        <v>2034</v>
      </c>
      <c r="I20" s="79">
        <f t="shared" si="10"/>
        <v>4123.9852580962888</v>
      </c>
      <c r="J20" s="50">
        <f t="shared" si="4"/>
        <v>109606.3637485147</v>
      </c>
      <c r="K20" s="50">
        <f>IF(H20=Year_Open_to_Traffic?,Calculations!$E$4,K19+(K19*M20))</f>
        <v>102299.27283194705</v>
      </c>
      <c r="L20" s="50">
        <f>IF(AND(H20&gt;=Year_Open_to_Traffic?, Calculations!H20&lt;Year_Open_to_Traffic?+'Inputs &amp; Outputs'!B$21), 1, 0)</f>
        <v>1</v>
      </c>
      <c r="M20" s="65">
        <f t="shared" si="11"/>
        <v>6.0522590259888265E-3</v>
      </c>
      <c r="N20" s="71">
        <f t="shared" si="12"/>
        <v>0.29669266135472544</v>
      </c>
      <c r="O20" s="72">
        <f t="shared" si="7"/>
        <v>1</v>
      </c>
      <c r="P20" s="68">
        <f t="shared" si="8"/>
        <v>7307.0909165676567</v>
      </c>
      <c r="Q20" s="69">
        <f t="shared" si="0"/>
        <v>1</v>
      </c>
      <c r="R20" s="70">
        <f t="shared" si="1"/>
        <v>25.508465621052807</v>
      </c>
      <c r="S20" s="77">
        <f t="shared" si="2"/>
        <v>259.08582163489086</v>
      </c>
      <c r="T20" s="64">
        <f t="shared" si="9"/>
        <v>87.761331586295853</v>
      </c>
      <c r="W20" s="58"/>
    </row>
    <row r="21" spans="1:23">
      <c r="H21" s="14">
        <f t="shared" si="3"/>
        <v>2035</v>
      </c>
      <c r="I21" s="79">
        <f t="shared" si="10"/>
        <v>4148.9446850976474</v>
      </c>
      <c r="J21" s="50">
        <f t="shared" si="4"/>
        <v>110269.72985281747</v>
      </c>
      <c r="K21" s="50">
        <f>IF(H21=Year_Open_to_Traffic?,Calculations!$E$4,K20+(K20*M21))</f>
        <v>102918.41452929629</v>
      </c>
      <c r="L21" s="50">
        <f>IF(AND(H21&gt;=Year_Open_to_Traffic?, Calculations!H21&lt;Year_Open_to_Traffic?+'Inputs &amp; Outputs'!B$21), 1, 0)</f>
        <v>1</v>
      </c>
      <c r="M21" s="65">
        <f t="shared" si="11"/>
        <v>6.0522590259888265E-3</v>
      </c>
      <c r="N21" s="71">
        <f t="shared" si="12"/>
        <v>0.28889761131340158</v>
      </c>
      <c r="O21" s="72">
        <f t="shared" si="7"/>
        <v>1</v>
      </c>
      <c r="P21" s="68">
        <f t="shared" si="8"/>
        <v>7351.3153235211794</v>
      </c>
      <c r="Q21" s="69">
        <f t="shared" si="0"/>
        <v>1</v>
      </c>
      <c r="R21" s="70">
        <f t="shared" si="1"/>
        <v>26.095160330337016</v>
      </c>
      <c r="S21" s="77">
        <f t="shared" si="2"/>
        <v>266.64891528854639</v>
      </c>
      <c r="T21" s="64">
        <f t="shared" si="9"/>
        <v>84.414217825387723</v>
      </c>
      <c r="W21" s="58"/>
    </row>
    <row r="22" spans="1:23">
      <c r="H22" s="49">
        <f>H21+1</f>
        <v>2036</v>
      </c>
      <c r="I22" s="79">
        <f t="shared" si="10"/>
        <v>4174.0551730163579</v>
      </c>
      <c r="J22" s="50">
        <f t="shared" si="4"/>
        <v>110937.11082061254</v>
      </c>
      <c r="K22" s="50">
        <f>IF(H22=Year_Open_to_Traffic?,Calculations!$E$4,K21+(K21*M22))</f>
        <v>103541.30343257169</v>
      </c>
      <c r="L22" s="50">
        <f>IF(AND(H22&gt;=Year_Open_to_Traffic?, Calculations!H22&lt;Year_Open_to_Traffic?+'Inputs &amp; Outputs'!B$21), 1, 0)</f>
        <v>1</v>
      </c>
      <c r="M22" s="65">
        <f t="shared" si="11"/>
        <v>6.0522590259888265E-3</v>
      </c>
      <c r="N22" s="71">
        <f t="shared" si="12"/>
        <v>0.28130736177125182</v>
      </c>
      <c r="O22" s="72">
        <f t="shared" si="7"/>
        <v>1</v>
      </c>
      <c r="P22" s="68">
        <f t="shared" si="8"/>
        <v>7395.8073880408483</v>
      </c>
      <c r="Q22" s="69">
        <f t="shared" si="0"/>
        <v>1</v>
      </c>
      <c r="R22" s="70">
        <f t="shared" si="1"/>
        <v>26.695349017934767</v>
      </c>
      <c r="S22" s="77">
        <f t="shared" si="2"/>
        <v>274.43278669550762</v>
      </c>
      <c r="T22" s="64">
        <f t="shared" si="9"/>
        <v>81.194759038782692</v>
      </c>
      <c r="W22" s="58"/>
    </row>
    <row r="23" spans="1:23">
      <c r="H23" s="14">
        <f t="shared" si="3"/>
        <v>2037</v>
      </c>
      <c r="I23" s="79">
        <f t="shared" si="10"/>
        <v>4199.3176361122214</v>
      </c>
      <c r="J23" s="50">
        <f t="shared" si="4"/>
        <v>111608.53095089371</v>
      </c>
      <c r="K23" s="50">
        <f>IF(H23=Year_Open_to_Traffic?,Calculations!$E$4,K22+(K22*M23))</f>
        <v>104167.96222083412</v>
      </c>
      <c r="L23" s="50">
        <f>IF(AND(H23&gt;=Year_Open_to_Traffic?, Calculations!H23&lt;Year_Open_to_Traffic?+'Inputs &amp; Outputs'!B$21), 1, 0)</f>
        <v>1</v>
      </c>
      <c r="M23" s="65">
        <f t="shared" si="11"/>
        <v>6.0522590259888265E-3</v>
      </c>
      <c r="N23" s="71">
        <f t="shared" si="12"/>
        <v>0.27391653197456201</v>
      </c>
      <c r="O23" s="72">
        <f t="shared" si="7"/>
        <v>1</v>
      </c>
      <c r="P23" s="68">
        <f t="shared" si="8"/>
        <v>7440.5687300595891</v>
      </c>
      <c r="Q23" s="69">
        <f t="shared" si="0"/>
        <v>1</v>
      </c>
      <c r="R23" s="70">
        <f t="shared" si="1"/>
        <v>27.309342045347261</v>
      </c>
      <c r="S23" s="77">
        <f t="shared" si="2"/>
        <v>282.44388068094622</v>
      </c>
      <c r="T23" s="64">
        <f t="shared" si="9"/>
        <v>78.098086616200888</v>
      </c>
      <c r="W23" s="58"/>
    </row>
    <row r="24" spans="1:23">
      <c r="H24" s="49">
        <f t="shared" si="3"/>
        <v>2038</v>
      </c>
      <c r="I24" s="79">
        <f t="shared" si="10"/>
        <v>4224.7329941783755</v>
      </c>
      <c r="J24" s="50">
        <f t="shared" si="4"/>
        <v>112284.01468971861</v>
      </c>
      <c r="K24" s="50">
        <f>IF(H24=Year_Open_to_Traffic?,Calculations!$E$4,K23+(K23*M24))</f>
        <v>104798.41371040403</v>
      </c>
      <c r="L24" s="50">
        <f>IF(AND(H24&gt;=Year_Open_to_Traffic?, Calculations!H24&lt;Year_Open_to_Traffic?+'Inputs &amp; Outputs'!B$21), 1, 0)</f>
        <v>1</v>
      </c>
      <c r="M24" s="65">
        <f t="shared" si="11"/>
        <v>6.0522590259888265E-3</v>
      </c>
      <c r="N24" s="71">
        <f t="shared" si="12"/>
        <v>0.26671988253895373</v>
      </c>
      <c r="O24" s="72">
        <f t="shared" si="7"/>
        <v>1</v>
      </c>
      <c r="P24" s="68">
        <f>(J24-K24)*L24</f>
        <v>7485.6009793145786</v>
      </c>
      <c r="Q24" s="69">
        <f t="shared" si="0"/>
        <v>1</v>
      </c>
      <c r="R24" s="70">
        <f t="shared" si="1"/>
        <v>27.93745691239025</v>
      </c>
      <c r="S24" s="77">
        <f t="shared" si="2"/>
        <v>290.68883020389666</v>
      </c>
      <c r="T24" s="64">
        <f t="shared" si="9"/>
        <v>75.119517630420972</v>
      </c>
      <c r="W24" s="58"/>
    </row>
    <row r="25" spans="1:23">
      <c r="H25" s="14">
        <f t="shared" si="3"/>
        <v>2039</v>
      </c>
      <c r="I25" s="79">
        <f t="shared" si="10"/>
        <v>4250.302172574784</v>
      </c>
      <c r="J25" s="50">
        <f t="shared" si="4"/>
        <v>112963.58663109872</v>
      </c>
      <c r="K25" s="50">
        <f>IF(H25=Year_Open_to_Traffic?,Calculations!$E$4,K24+(K24*M25))</f>
        <v>105432.68085569213</v>
      </c>
      <c r="L25" s="50">
        <f>IF(AND(H25&gt;=Year_Open_to_Traffic?, Calculations!H25&lt;Year_Open_to_Traffic?+'Inputs &amp; Outputs'!B$21), 1, 0)</f>
        <v>1</v>
      </c>
      <c r="M25" s="65">
        <f t="shared" si="11"/>
        <v>6.0522590259888265E-3</v>
      </c>
      <c r="N25" s="71">
        <f t="shared" si="12"/>
        <v>0.25971231173516696</v>
      </c>
      <c r="O25" s="72">
        <f t="shared" si="7"/>
        <v>1</v>
      </c>
      <c r="P25" s="68">
        <f t="shared" si="8"/>
        <v>7530.9057754065871</v>
      </c>
      <c r="Q25" s="69">
        <f t="shared" si="0"/>
        <v>1</v>
      </c>
      <c r="R25" s="70">
        <f t="shared" si="1"/>
        <v>28.580018421375218</v>
      </c>
      <c r="S25" s="77">
        <f t="shared" si="2"/>
        <v>299.17446184915815</v>
      </c>
      <c r="T25" s="64">
        <f t="shared" si="9"/>
        <v>72.254547755546966</v>
      </c>
      <c r="W25" s="58"/>
    </row>
    <row r="26" spans="1:23">
      <c r="H26" s="49">
        <f t="shared" si="3"/>
        <v>2040</v>
      </c>
      <c r="I26" s="79">
        <f t="shared" si="10"/>
        <v>4276.0261022619297</v>
      </c>
      <c r="J26" s="50">
        <f t="shared" si="4"/>
        <v>113647.27151789486</v>
      </c>
      <c r="K26" s="50">
        <f>IF(H26=Year_Open_to_Traffic?,Calculations!$E$4,K25+(K25*M26))</f>
        <v>106070.7867500352</v>
      </c>
      <c r="L26" s="50">
        <f>IF(AND(H26&gt;=Year_Open_to_Traffic?, Calculations!H26&lt;Year_Open_to_Traffic?+'Inputs &amp; Outputs'!B$21), 1, 0)</f>
        <v>1</v>
      </c>
      <c r="M26" s="65">
        <f t="shared" si="11"/>
        <v>6.0522590259888265E-3</v>
      </c>
      <c r="N26" s="71">
        <f t="shared" si="12"/>
        <v>0.25288885187242682</v>
      </c>
      <c r="O26" s="72">
        <f t="shared" si="7"/>
        <v>1</v>
      </c>
      <c r="P26" s="68">
        <f t="shared" si="8"/>
        <v>7576.4847678596561</v>
      </c>
      <c r="Q26" s="69">
        <f t="shared" si="0"/>
        <v>1</v>
      </c>
      <c r="R26" s="70">
        <f t="shared" si="1"/>
        <v>29.237358845066851</v>
      </c>
      <c r="S26" s="77">
        <f t="shared" si="2"/>
        <v>307.90780147951313</v>
      </c>
      <c r="T26" s="64">
        <f t="shared" si="9"/>
        <v>69.498844455364164</v>
      </c>
      <c r="W26" s="58"/>
    </row>
    <row r="27" spans="1:23">
      <c r="H27" s="14">
        <f t="shared" si="3"/>
        <v>2041</v>
      </c>
      <c r="I27" s="79">
        <f t="shared" si="10"/>
        <v>4301.9057198347082</v>
      </c>
      <c r="J27" s="50">
        <f t="shared" si="4"/>
        <v>114335.09424271804</v>
      </c>
      <c r="K27" s="50">
        <f>IF(H27=Year_Open_to_Traffic?,Calculations!$E$4,K26+(K26*M27))</f>
        <v>106712.75462653684</v>
      </c>
      <c r="L27" s="50">
        <f>IF(AND(H27&gt;=Year_Open_to_Traffic?, Calculations!H27&lt;Year_Open_to_Traffic?+'Inputs &amp; Outputs'!B$21), 1, 0)</f>
        <v>1</v>
      </c>
      <c r="M27" s="65">
        <f t="shared" si="11"/>
        <v>6.0522590259888265E-3</v>
      </c>
      <c r="N27" s="71">
        <f t="shared" si="12"/>
        <v>0.2462446657768306</v>
      </c>
      <c r="O27" s="72">
        <f t="shared" si="7"/>
        <v>1</v>
      </c>
      <c r="P27" s="68">
        <f t="shared" si="8"/>
        <v>7622.3396161811979</v>
      </c>
      <c r="Q27" s="69">
        <f t="shared" si="0"/>
        <v>1</v>
      </c>
      <c r="R27" s="70">
        <f t="shared" si="1"/>
        <v>29.909818098503379</v>
      </c>
      <c r="S27" s="77">
        <f t="shared" si="2"/>
        <v>316.896080052944</v>
      </c>
      <c r="T27" s="64">
        <f t="shared" si="9"/>
        <v>66.848240431483376</v>
      </c>
      <c r="W27" s="58"/>
    </row>
    <row r="28" spans="1:23">
      <c r="H28" s="49">
        <f t="shared" si="3"/>
        <v>2042</v>
      </c>
      <c r="I28" s="79">
        <f t="shared" si="10"/>
        <v>4327.9419675565305</v>
      </c>
      <c r="J28" s="50">
        <f t="shared" si="4"/>
        <v>115027.07984883581</v>
      </c>
      <c r="K28" s="50">
        <f>IF(H28=Year_Open_to_Traffic?,Calculations!$E$4,K27+(K27*M28))</f>
        <v>107358.60785891343</v>
      </c>
      <c r="L28" s="50">
        <f>IF(AND(H28&gt;=Year_Open_to_Traffic?, Calculations!H28&lt;Year_Open_to_Traffic?+'Inputs &amp; Outputs'!B$21), 1, 0)</f>
        <v>1</v>
      </c>
      <c r="M28" s="65">
        <f t="shared" si="11"/>
        <v>6.0522590259888265E-3</v>
      </c>
      <c r="N28" s="71">
        <f t="shared" si="12"/>
        <v>0.23977504336225891</v>
      </c>
      <c r="O28" s="72">
        <f t="shared" si="7"/>
        <v>1</v>
      </c>
      <c r="P28" s="68">
        <f t="shared" si="8"/>
        <v>7668.4719899223855</v>
      </c>
      <c r="Q28" s="69">
        <f t="shared" si="0"/>
        <v>1</v>
      </c>
      <c r="R28" s="70">
        <f t="shared" si="1"/>
        <v>30.597743914768959</v>
      </c>
      <c r="S28" s="77">
        <f t="shared" si="2"/>
        <v>326.14673960966115</v>
      </c>
      <c r="T28" s="64">
        <f t="shared" si="9"/>
        <v>64.298727321364922</v>
      </c>
      <c r="W28" s="58"/>
    </row>
    <row r="29" spans="1:23">
      <c r="H29" s="14">
        <f t="shared" si="3"/>
        <v>2043</v>
      </c>
      <c r="I29" s="79">
        <f t="shared" si="10"/>
        <v>4354.1357933936306</v>
      </c>
      <c r="J29" s="50">
        <f t="shared" si="4"/>
        <v>115723.25353108406</v>
      </c>
      <c r="K29" s="50">
        <f>IF(H29=Year_Open_to_Traffic?,Calculations!$E$4,K28+(K28*M29))</f>
        <v>108008.36996234512</v>
      </c>
      <c r="L29" s="50">
        <f>IF(AND(H29&gt;=Year_Open_to_Traffic?, Calculations!H29&lt;Year_Open_to_Traffic?+'Inputs &amp; Outputs'!B$21), 1, 0)</f>
        <v>1</v>
      </c>
      <c r="M29" s="65">
        <f t="shared" si="11"/>
        <v>6.0522590259888265E-3</v>
      </c>
      <c r="N29" s="71">
        <f t="shared" si="12"/>
        <v>0.23347539829137945</v>
      </c>
      <c r="O29" s="72">
        <f t="shared" si="7"/>
        <v>1</v>
      </c>
      <c r="P29" s="68">
        <f t="shared" si="8"/>
        <v>7714.8835687389364</v>
      </c>
      <c r="Q29" s="69">
        <f t="shared" si="0"/>
        <v>1</v>
      </c>
      <c r="R29" s="70">
        <f t="shared" si="1"/>
        <v>31.301492024808638</v>
      </c>
      <c r="S29" s="77">
        <f t="shared" si="2"/>
        <v>335.66743943390054</v>
      </c>
      <c r="T29" s="64">
        <f t="shared" si="9"/>
        <v>61.846449636692341</v>
      </c>
      <c r="W29" s="58"/>
    </row>
    <row r="30" spans="1:23">
      <c r="H30" s="14">
        <f t="shared" si="3"/>
        <v>2044</v>
      </c>
      <c r="I30" s="79">
        <f t="shared" si="10"/>
        <v>4380.4881510495779</v>
      </c>
      <c r="J30" s="50">
        <f t="shared" si="4"/>
        <v>116423.64063678436</v>
      </c>
      <c r="K30" s="50">
        <f>IF(H30=Year_Open_to_Traffic?,Calculations!$E$4,K29+(K29*M30))</f>
        <v>108662.06459433207</v>
      </c>
      <c r="L30" s="50">
        <f>IF(AND(H30&gt;=Year_Open_to_Traffic?, Calculations!H30&lt;Year_Open_to_Traffic?+'Inputs &amp; Outputs'!B$21), 1, 0)</f>
        <v>1</v>
      </c>
      <c r="M30" s="65">
        <f t="shared" si="11"/>
        <v>6.0522590259888265E-3</v>
      </c>
      <c r="N30" s="71">
        <f t="shared" si="12"/>
        <v>0.22734126472437696</v>
      </c>
      <c r="O30" s="72">
        <f t="shared" si="7"/>
        <v>1</v>
      </c>
      <c r="P30" s="68">
        <f t="shared" si="8"/>
        <v>7761.5760424522887</v>
      </c>
      <c r="Q30" s="69">
        <f t="shared" si="0"/>
        <v>1</v>
      </c>
      <c r="R30" s="70">
        <f t="shared" si="1"/>
        <v>32.021426341379232</v>
      </c>
      <c r="S30" s="77">
        <f t="shared" si="2"/>
        <v>345.46606239559554</v>
      </c>
      <c r="T30" s="64">
        <f t="shared" si="9"/>
        <v>59.48769893293008</v>
      </c>
      <c r="W30" s="58"/>
    </row>
    <row r="31" spans="1:23">
      <c r="H31" s="14">
        <f t="shared" si="3"/>
        <v>2045</v>
      </c>
      <c r="I31" s="79">
        <f t="shared" si="10"/>
        <v>4407.0000000000045</v>
      </c>
      <c r="J31" s="50">
        <f t="shared" si="4"/>
        <v>117128.26666666682</v>
      </c>
      <c r="K31" s="50">
        <f>IF(H31=Year_Open_to_Traffic?,Calculations!$E$4,K30+(K30*M31))</f>
        <v>109319.7155555557</v>
      </c>
      <c r="L31" s="50">
        <f>IF(AND(H31&gt;=Year_Open_to_Traffic?, Calculations!H31&lt;Year_Open_to_Traffic?+'Inputs &amp; Outputs'!B$21), 1, 0)</f>
        <v>1</v>
      </c>
      <c r="M31" s="65">
        <f t="shared" si="11"/>
        <v>6.0522590259888265E-3</v>
      </c>
      <c r="N31" s="71">
        <f t="shared" si="12"/>
        <v>0.22136829415310419</v>
      </c>
      <c r="O31" s="72">
        <f t="shared" si="7"/>
        <v>1</v>
      </c>
      <c r="P31" s="68">
        <f t="shared" si="8"/>
        <v>7808.5511111111264</v>
      </c>
      <c r="Q31" s="69">
        <f t="shared" si="0"/>
        <v>1</v>
      </c>
      <c r="R31" s="70">
        <f t="shared" si="1"/>
        <v>32.757919147230957</v>
      </c>
      <c r="S31" s="77">
        <f t="shared" si="2"/>
        <v>355.55072147717021</v>
      </c>
      <c r="T31" s="64">
        <f t="shared" si="9"/>
        <v>57.218908201246819</v>
      </c>
      <c r="W31" s="58"/>
    </row>
    <row r="32" spans="1:23">
      <c r="H32" s="14">
        <f t="shared" si="3"/>
        <v>2046</v>
      </c>
      <c r="I32" s="79">
        <f t="shared" si="10"/>
        <v>4433.672305527537</v>
      </c>
      <c r="J32" s="50">
        <f t="shared" si="4"/>
        <v>117837.15727579859</v>
      </c>
      <c r="K32" s="50">
        <f>IF(H32=Year_Open_to_Traffic?,Calculations!$E$4,K31+(K31*M32))</f>
        <v>109981.34679074535</v>
      </c>
      <c r="L32" s="50">
        <f>IF(AND(H32&gt;=Year_Open_to_Traffic?, Calculations!H32&lt;Year_Open_to_Traffic?+'Inputs &amp; Outputs'!B$21), 1, 0)</f>
        <v>0</v>
      </c>
      <c r="M32" s="65">
        <f t="shared" si="11"/>
        <v>6.0522590259888265E-3</v>
      </c>
      <c r="N32" s="71">
        <f t="shared" si="12"/>
        <v>0.21555225231840963</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4460.5060387569429</v>
      </c>
      <c r="J33" s="50">
        <f t="shared" si="4"/>
        <v>118550.3382745179</v>
      </c>
      <c r="K33" s="50">
        <f>IF(H33=Year_Open_to_Traffic?,Calculations!$E$4,K32+(K32*M33))</f>
        <v>110646.98238955004</v>
      </c>
      <c r="L33" s="50">
        <f>IF(AND(H33&gt;=Year_Open_to_Traffic?, Calculations!H33&lt;Year_Open_to_Traffic?+'Inputs &amp; Outputs'!B$21), 1, 0)</f>
        <v>0</v>
      </c>
      <c r="M33" s="65">
        <f t="shared" si="11"/>
        <v>6.0522590259888265E-3</v>
      </c>
      <c r="N33" s="71">
        <f t="shared" si="12"/>
        <v>0.20988901620845687</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4487.5021766904874</v>
      </c>
      <c r="J34" s="50">
        <f t="shared" si="4"/>
        <v>119267.83562937388</v>
      </c>
      <c r="K34" s="50">
        <f>IF(H34=Year_Open_to_Traffic?,Calculations!$E$4,K33+(K33*M34))</f>
        <v>111316.64658741563</v>
      </c>
      <c r="L34" s="50">
        <f>IF(AND(H34&gt;=Year_Open_to_Traffic?, Calculations!H34&lt;Year_Open_to_Traffic?+'Inputs &amp; Outputs'!B$21), 1, 0)</f>
        <v>0</v>
      </c>
      <c r="M34" s="65">
        <f t="shared" si="11"/>
        <v>6.0522590259888265E-3</v>
      </c>
      <c r="N34" s="71">
        <f t="shared" si="12"/>
        <v>0.2043745711359074</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4514.6617022435066</v>
      </c>
      <c r="J35" s="50">
        <f t="shared" si="4"/>
        <v>119989.6754640719</v>
      </c>
      <c r="K35" s="50">
        <f>IF(H35=Year_Open_to_Traffic?,Calculations!$E$4,K34+(K34*M35))</f>
        <v>111990.36376646713</v>
      </c>
      <c r="L35" s="50">
        <f>IF(AND(H35&gt;=Year_Open_to_Traffic?, Calculations!H35&lt;Year_Open_to_Traffic?+'Inputs &amp; Outputs'!B$21), 1, 0)</f>
        <v>0</v>
      </c>
      <c r="M35" s="65">
        <f t="shared" si="11"/>
        <v>6.0522590259888265E-3</v>
      </c>
      <c r="N35" s="71">
        <f t="shared" si="12"/>
        <v>0.19900500789189518</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4541.9856042801957</v>
      </c>
      <c r="J36" s="50">
        <f t="shared" si="4"/>
        <v>120715.8840604248</v>
      </c>
      <c r="K36" s="50">
        <f>IF(H36=Year_Open_to_Traffic?,Calculations!$E$4,K35+(K35*M36))</f>
        <v>112668.1584563965</v>
      </c>
      <c r="L36" s="50">
        <f>IF(AND(H36&gt;=Year_Open_to_Traffic?, Calculations!H36&lt;Year_Open_to_Traffic?+'Inputs &amp; Outputs'!B$21), 1, 0)</f>
        <v>0</v>
      </c>
      <c r="M36" s="65">
        <f t="shared" si="11"/>
        <v>6.0522590259888265E-3</v>
      </c>
      <c r="N36" s="71">
        <f t="shared" si="12"/>
        <v>0.19377651997477513</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1697.7135270962169</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52</v>
      </c>
      <c r="N6" s="44" t="s">
        <v>55</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163</v>
      </c>
      <c r="C9" s="81">
        <v>0.2</v>
      </c>
      <c r="D9" s="74">
        <v>0.02</v>
      </c>
      <c r="E9" s="74">
        <v>0.02</v>
      </c>
      <c r="F9" s="74">
        <v>0.2</v>
      </c>
      <c r="G9" s="91">
        <v>0.15</v>
      </c>
      <c r="H9" s="93"/>
      <c r="L9" s="44" t="s">
        <v>164</v>
      </c>
    </row>
    <row r="10" spans="2:14">
      <c r="B10" s="73" t="s">
        <v>165</v>
      </c>
      <c r="C10" s="81">
        <v>0.3</v>
      </c>
      <c r="D10" s="74">
        <v>0.1</v>
      </c>
      <c r="E10" s="74">
        <v>0.1</v>
      </c>
      <c r="F10" s="74">
        <v>0.3</v>
      </c>
      <c r="G10" s="91">
        <v>0.22</v>
      </c>
      <c r="H10" s="93"/>
      <c r="L10" s="44" t="s">
        <v>166</v>
      </c>
    </row>
    <row r="11" spans="2:14">
      <c r="B11" s="73" t="s">
        <v>73</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80D95C-5735-416A-930A-22A82C668D65}"/>
</file>

<file path=customXml/itemProps2.xml><?xml version="1.0" encoding="utf-8"?>
<ds:datastoreItem xmlns:ds="http://schemas.openxmlformats.org/officeDocument/2006/customXml" ds:itemID="{F247C750-7FA9-421E-8620-E165A4E79475}"/>
</file>

<file path=customXml/itemProps3.xml><?xml version="1.0" encoding="utf-8"?>
<ds:datastoreItem xmlns:ds="http://schemas.openxmlformats.org/officeDocument/2006/customXml" ds:itemID="{F129B42B-C24E-488D-9680-8592B7A7636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2018-10-30T19:27:23Z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