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4_FM1405/"/>
    </mc:Choice>
  </mc:AlternateContent>
  <xr:revisionPtr revIDLastSave="18" documentId="8_{1DACCCCD-502A-4D89-8A27-2295FE83C6BC}" xr6:coauthVersionLast="40" xr6:coauthVersionMax="40" xr10:uidLastSave="{479DF42D-3806-4F8C-A861-D1064D42AE6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21" i="12"/>
  <c r="H26" i="12"/>
  <c r="E20" i="12"/>
  <c r="G26" i="12"/>
  <c r="E18" i="12"/>
  <c r="E26" i="12"/>
  <c r="E17" i="12"/>
  <c r="D26" i="12"/>
  <c r="E22" i="12"/>
  <c r="I26" i="12"/>
  <c r="S36" i="12"/>
  <c r="P36" i="12"/>
  <c r="Q36" i="12"/>
  <c r="D29" i="12"/>
  <c r="E29" i="12"/>
  <c r="F29" i="12"/>
  <c r="G29" i="12"/>
  <c r="H29" i="12"/>
  <c r="I29" i="12"/>
  <c r="J29" i="12"/>
  <c r="D28" i="12"/>
  <c r="E28" i="12"/>
  <c r="F28" i="12"/>
  <c r="G28" i="12"/>
  <c r="H28" i="12"/>
  <c r="I28" i="12"/>
  <c r="J28" i="12"/>
  <c r="D33" i="12"/>
  <c r="E33" i="12"/>
  <c r="F33" i="12"/>
  <c r="G33" i="12"/>
  <c r="H33" i="12"/>
  <c r="I33" i="12"/>
  <c r="J33" i="12"/>
  <c r="D31" i="12"/>
  <c r="E31" i="12"/>
  <c r="F31" i="12"/>
  <c r="G31" i="12"/>
  <c r="H31" i="12"/>
  <c r="I31" i="12"/>
  <c r="J31" i="12"/>
  <c r="D32" i="12"/>
  <c r="E32" i="12"/>
  <c r="F32" i="12"/>
  <c r="G32" i="12"/>
  <c r="H32" i="12"/>
  <c r="I32" i="12"/>
  <c r="J32" i="12"/>
  <c r="D30" i="12"/>
  <c r="E30" i="12"/>
  <c r="F30" i="12"/>
  <c r="G30" i="12"/>
  <c r="H30" i="12"/>
  <c r="I30" i="12"/>
  <c r="J30" i="12"/>
  <c r="D27" i="12"/>
  <c r="E27" i="12"/>
  <c r="F27" i="12"/>
  <c r="G27" i="12"/>
  <c r="H27" i="12"/>
  <c r="I27" i="12"/>
  <c r="J27" i="12"/>
  <c r="J5"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<sst xmlns="http://schemas.openxmlformats.org/spreadsheetml/2006/main" count="441" uniqueCount="286">
  <si>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</si>
  <si>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</si>
  <si>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</si>
  <si>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</si>
  <si>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</si>
  <si>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</si>
  <si>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</si>
  <si>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</si>
  <si>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</si>
  <si>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</si>
  <si>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</si>
  <si>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</si>
  <si>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</si>
  <si>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</si>
  <si>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</si>
  <si>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</si>
  <si>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</si>
  <si>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</si>
  <si>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</si>
  <si>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</si>
  <si>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</si>
  <si>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</si>
  <si>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</si>
  <si>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</si>
  <si>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</si>
  <si>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</si>
  <si>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</si>
  <si>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</si>
  <si>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</si>
  <si>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</si>
  <si>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</si>
  <si>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</si>
  <si>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</si>
  <si>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</si>
  <si>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</si>
  <si>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</si>
  <si>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</si>
  <si>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</si>
  <si>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</si>
  <si>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</si>
  <si>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</si>
  <si>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</si>
  <si>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</si>
  <si>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</si>
  <si>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</si>
  <si>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</si>
  <si>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</si>
  <si>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</si>
  <si>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1405 Widening</t>
  </si>
  <si>
    <t>County</t>
  </si>
  <si>
    <t>Chambers</t>
  </si>
  <si>
    <t>Data entered by the sponsors</t>
  </si>
  <si>
    <t>Facility Type</t>
  </si>
  <si>
    <t>Non-Freeway</t>
  </si>
  <si>
    <t>HGAC regional travel demand model data provided by HGAC upon request</t>
  </si>
  <si>
    <t>Street Name:</t>
  </si>
  <si>
    <t>FM 1405</t>
  </si>
  <si>
    <t>Populated based on selection in cell "C18"</t>
  </si>
  <si>
    <t>Limits (From)</t>
  </si>
  <si>
    <t>SH 146</t>
  </si>
  <si>
    <t>Benefits calculated by the template</t>
  </si>
  <si>
    <t>Limits (To)</t>
  </si>
  <si>
    <t>SH 99</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</si>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</sst>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5" sqref="C15"/>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4.5999999999999996</v>
      </c>
      <c r="D12" s="79"/>
      <c r="N12" s="133"/>
      <c r="O12" s="133"/>
      <c r="P12" s="133"/>
      <c r="Q12" s="133"/>
      <c r="R12" s="133"/>
      <c r="S12" s="133"/>
    </row>
    <row r="13" spans="2:19">
      <c r="B13" s="3" t="s">
        <v>64</v>
      </c>
      <c r="C13" s="97">
        <v>242</v>
      </c>
      <c r="D13" s="53"/>
    </row>
    <row r="14" spans="2:19">
      <c r="B14" s="3" t="s">
        <v>65</v>
      </c>
      <c r="C14" s="97" t="s">
        <v>66</v>
      </c>
      <c r="D14" s="53"/>
      <c r="G14" s="90"/>
    </row>
    <row r="15" spans="2:19">
      <c r="C15" s="53"/>
      <c r="D15" s="53"/>
    </row>
    <row r="16" spans="2:19">
      <c r="B16" s="5" t="s">
        <v>67</v>
      </c>
    </row>
    <row r="17" spans="2:13">
      <c r="B17" s="3" t="s">
        <v>68</v>
      </c>
      <c r="C17" s="97">
        <v>2026</v>
      </c>
      <c r="D17" s="80"/>
    </row>
    <row r="18" spans="2:13">
      <c r="B18" s="3" t="s">
        <v>69</v>
      </c>
      <c r="C18" s="98" t="s">
        <v>70</v>
      </c>
    </row>
    <row r="19" spans="2:13">
      <c r="B19" s="99" t="s">
        <v>71</v>
      </c>
      <c r="C19" s="128">
        <f>VLOOKUP(C18,'CRF Lookup Table'!C3:F84,2, FALSE)</f>
        <v>203</v>
      </c>
      <c r="D19" s="81"/>
    </row>
    <row r="20" spans="2:13">
      <c r="B20" s="99" t="s">
        <v>72</v>
      </c>
      <c r="C20" s="129">
        <f>VLOOKUP(C18,'CRF Lookup Table'!C3:F84,3, FALSE)</f>
        <v>0.4</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6446</v>
      </c>
      <c r="D25" s="82"/>
      <c r="I25" s="41"/>
    </row>
    <row r="26" spans="2:13">
      <c r="I26" s="41"/>
    </row>
    <row r="27" spans="2:13">
      <c r="B27" s="73" t="s">
        <v>76</v>
      </c>
      <c r="C27" s="74">
        <v>3243</v>
      </c>
      <c r="D27" s="82"/>
      <c r="I27" s="41"/>
    </row>
    <row r="28" spans="2:13">
      <c r="B28" s="73" t="s">
        <v>77</v>
      </c>
      <c r="C28" s="74">
        <v>10360</v>
      </c>
      <c r="D28" s="82"/>
      <c r="I28" s="41"/>
    </row>
    <row r="29" spans="2:13">
      <c r="B29" s="73" t="s">
        <v>78</v>
      </c>
      <c r="C29" s="75">
        <v>3906</v>
      </c>
      <c r="D29" s="58"/>
      <c r="I29" s="41"/>
    </row>
    <row r="30" spans="2:13">
      <c r="B30" s="73" t="s">
        <v>79</v>
      </c>
      <c r="C30" s="75">
        <v>10360</v>
      </c>
      <c r="D30" s="58"/>
      <c r="I30" s="41"/>
    </row>
    <row r="31" spans="2:13">
      <c r="B31" s="73" t="s">
        <v>80</v>
      </c>
      <c r="C31" s="74">
        <v>4407</v>
      </c>
      <c r="D31" s="82"/>
      <c r="H31" s="59"/>
    </row>
    <row r="32" spans="2:13">
      <c r="B32" s="73" t="s">
        <v>81</v>
      </c>
      <c r="C32" s="74">
        <v>19908</v>
      </c>
      <c r="D32" s="82"/>
    </row>
    <row r="34" spans="2:9" ht="18.75">
      <c r="B34" s="43" t="s">
        <v>82</v>
      </c>
      <c r="C34" s="44"/>
      <c r="D34" s="44"/>
      <c r="E34" s="44"/>
      <c r="F34" s="44"/>
      <c r="I34" s="59"/>
    </row>
    <row r="36" spans="2:9">
      <c r="B36" s="9" t="s">
        <v>83</v>
      </c>
    </row>
    <row r="37" spans="2:9">
      <c r="B37" s="8" t="s">
        <v>84</v>
      </c>
      <c r="C37" s="34">
        <f>Calculations!U37</f>
        <v>16535.226814405174</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7810.8110507949496</v>
      </c>
      <c r="G4" s="136" t="s">
        <v>95</v>
      </c>
      <c r="H4" s="136"/>
      <c r="I4" s="136"/>
      <c r="J4" s="136"/>
      <c r="L4" s="106"/>
      <c r="M4" s="107">
        <v>2018</v>
      </c>
      <c r="N4" s="108">
        <f>_2018_Volume_ADT</f>
        <v>6446</v>
      </c>
      <c r="O4" s="109" t="s">
        <v>96</v>
      </c>
      <c r="P4" s="110">
        <f>MIN(B12,1)</f>
        <v>0.31303088803088802</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35929.730833656766</v>
      </c>
      <c r="G5" s="137" t="s">
        <v>99</v>
      </c>
      <c r="H5" s="137"/>
      <c r="I5" s="137"/>
      <c r="J5" s="111">
        <f>SUMPRODUCT(Possible_Crash_Reductions,'Value of Statistical Life'!E5:E11)</f>
        <v>2396744.5260664904</v>
      </c>
      <c r="L5" s="106"/>
      <c r="M5" s="11">
        <f t="shared" ref="M5:M36" si="1">M4+1</f>
        <v>2019</v>
      </c>
      <c r="N5" s="112">
        <f>N4+(N4*O5)</f>
        <v>6619.5894774387461</v>
      </c>
      <c r="O5" s="113">
        <f t="shared" ref="O5:O11" si="2">IF(ISERROR(_2025_2045_Demand_Growth),_2018_2045_Demand_Growth,_2018_2025_Demand_Growth)</f>
        <v>2.6929797927202292E-2</v>
      </c>
      <c r="P5" s="114">
        <f t="shared" ref="P5:P11" si="3">P4*(1+IFERROR(_2018_2025_V_C_Growth,_2018_2045_V_C_Growth))</f>
        <v>0.32146074659053253</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9341730.0167507585</v>
      </c>
      <c r="L6" s="106"/>
      <c r="M6" s="107">
        <f t="shared" si="1"/>
        <v>2020</v>
      </c>
      <c r="N6" s="112">
        <f t="shared" ref="N6:N36" si="6">N5+(N5*O6)</f>
        <v>6797.8536844272057</v>
      </c>
      <c r="O6" s="113">
        <f t="shared" si="2"/>
        <v>2.6929797927202292E-2</v>
      </c>
      <c r="P6" s="114">
        <f t="shared" si="3"/>
        <v>0.33011761953774316</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6980.9185104875178</v>
      </c>
      <c r="O7" s="113">
        <f t="shared" si="2"/>
        <v>2.6929797927202292E-2</v>
      </c>
      <c r="P7" s="114">
        <f t="shared" si="3"/>
        <v>0.33900762032410364</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7168.9132353212126</v>
      </c>
      <c r="O8" s="113">
        <f t="shared" si="2"/>
        <v>2.6929797927202292E-2</v>
      </c>
      <c r="P8" s="114">
        <f t="shared" si="3"/>
        <v>0.34813702703521349</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2.6929797927202292E-2</v>
      </c>
      <c r="D9" s="39" t="s">
        <v>104</v>
      </c>
      <c r="E9" s="119">
        <f>IF('Inputs &amp; Outputs'!$C$8='CRASH RATES'!$D$3, VLOOKUP('Inputs &amp; Outputs'!$C$7,'CRASH RATES'!$C$14:$J$21,3,FALSE), VLOOKUP('Inputs &amp; Outputs'!$C$7,'CRASH RATES'!$C$28:$J$35,3,FALSE))</f>
        <v>2.8832323701282432</v>
      </c>
      <c r="F9" s="85"/>
      <c r="L9" s="106"/>
      <c r="M9" s="11">
        <f t="shared" si="1"/>
        <v>2023</v>
      </c>
      <c r="N9" s="112">
        <f t="shared" si="6"/>
        <v>7361.970620106059</v>
      </c>
      <c r="O9" s="113">
        <f t="shared" si="2"/>
        <v>2.6929797927202292E-2</v>
      </c>
      <c r="P9" s="114">
        <f t="shared" si="3"/>
        <v>0.35751228682424874</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6.0522590259888265E-3</v>
      </c>
      <c r="D10" s="39" t="s">
        <v>106</v>
      </c>
      <c r="E10" s="119">
        <f>IF('Inputs &amp; Outputs'!$C$8='CRASH RATES'!$D$3, VLOOKUP('Inputs &amp; Outputs'!$C$7,'CRASH RATES'!$C$14:$J$21,4,FALSE), VLOOKUP('Inputs &amp; Outputs'!$C$7,'CRASH RATES'!$C$28:$J$35,4,FALSE))</f>
        <v>27.184762346923439</v>
      </c>
      <c r="F10" s="85"/>
      <c r="L10" s="106"/>
      <c r="M10" s="107">
        <f t="shared" si="1"/>
        <v>2024</v>
      </c>
      <c r="N10" s="112">
        <f t="shared" si="6"/>
        <v>7560.2270012515155</v>
      </c>
      <c r="O10" s="113">
        <f t="shared" si="2"/>
        <v>2.6929797927202292E-2</v>
      </c>
      <c r="P10" s="114">
        <f t="shared" si="3"/>
        <v>0.36714002046491773</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1.1423846756174028E-2</v>
      </c>
      <c r="D11" s="39" t="s">
        <v>108</v>
      </c>
      <c r="E11" s="119">
        <f>IF('Inputs &amp; Outputs'!$C$8='CRASH RATES'!$D$3, VLOOKUP('Inputs &amp; Outputs'!$C$7,'CRASH RATES'!$C$14:$J$21,5,FALSE), VLOOKUP('Inputs &amp; Outputs'!$C$7,'CRASH RATES'!$C$28:$J$35,5,FALSE))</f>
        <v>68.373796205898344</v>
      </c>
      <c r="F11" s="85"/>
      <c r="L11" s="106"/>
      <c r="M11" s="11">
        <f t="shared" si="1"/>
        <v>2025</v>
      </c>
      <c r="N11" s="112">
        <f t="shared" si="6"/>
        <v>7763.8223866789976</v>
      </c>
      <c r="O11" s="113">
        <f t="shared" si="2"/>
        <v>2.6929797927202292E-2</v>
      </c>
      <c r="P11" s="114">
        <f t="shared" si="3"/>
        <v>0.3770270270270269</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75">
      <c r="A12" s="39" t="s">
        <v>109</v>
      </c>
      <c r="B12" s="120">
        <f>'Inputs &amp; Outputs'!C27/_2018_Peak_Period_Capacity</f>
        <v>0.31303088803088802</v>
      </c>
      <c r="D12" s="39" t="s">
        <v>110</v>
      </c>
      <c r="E12" s="119">
        <f>IF('Inputs &amp; Outputs'!$C$8='CRASH RATES'!$D$3, VLOOKUP('Inputs &amp; Outputs'!$C$7,'CRASH RATES'!$C$14:$J$21,6,FALSE), VLOOKUP('Inputs &amp; Outputs'!$C$7,'CRASH RATES'!$C$28:$J$35,6,FALSE))</f>
        <v>63.019221804231606</v>
      </c>
      <c r="F12" s="85"/>
      <c r="L12" s="106"/>
      <c r="M12" s="107">
        <f t="shared" si="1"/>
        <v>2026</v>
      </c>
      <c r="N12" s="112">
        <f t="shared" si="6"/>
        <v>7810.8110507949496</v>
      </c>
      <c r="O12" s="113">
        <f t="shared" ref="O12:O36" si="7">IFERROR(_2025_2045_Demand_Growth,_2018_2045_Demand_Growth)</f>
        <v>6.0522590259888265E-3</v>
      </c>
      <c r="P12" s="114">
        <f t="shared" ref="P12:P36" si="8">P11*(1+IFERROR(_2025_2040_V_C_Growth,_2018_2045_V_C_Growth))</f>
        <v>0.36712134035049182</v>
      </c>
      <c r="Q12" s="115">
        <f t="shared" si="4"/>
        <v>1</v>
      </c>
      <c r="R12" s="30">
        <f>IF(M12=Year_Open_to_Traffic?,Calculations!$J$5,Calculations!R11+(Calculations!R11*Calculations!O12*Q12))</f>
        <v>2396744.5260664904</v>
      </c>
      <c r="S12" s="45">
        <f t="shared" si="0"/>
        <v>1</v>
      </c>
      <c r="T12" s="30">
        <f t="shared" si="5"/>
        <v>2396.7445260664904</v>
      </c>
      <c r="U12" s="31">
        <f>T12/(1+Real_Discount_Rate)^(Calculations!M12-'Assumed Values'!$C$5)</f>
        <v>1394.9271354871155</v>
      </c>
    </row>
    <row r="13" spans="1:21" ht="15.75">
      <c r="A13" s="39" t="s">
        <v>111</v>
      </c>
      <c r="B13" s="120">
        <f>_2025_Peak_Period_Volume/_2025_Peak_Period_Capacity</f>
        <v>0.37702702702702701</v>
      </c>
      <c r="D13" s="39" t="s">
        <v>112</v>
      </c>
      <c r="E13" s="119">
        <f>IF('Inputs &amp; Outputs'!$C$8='CRASH RATES'!$D$3, VLOOKUP('Inputs &amp; Outputs'!$C$7,'CRASH RATES'!$C$14:$J$21,7,FALSE), VLOOKUP('Inputs &amp; Outputs'!$C$7,'CRASH RATES'!$C$28:$J$35,7,FALSE))</f>
        <v>906.57063523603767</v>
      </c>
      <c r="F13" s="85"/>
      <c r="L13" s="106"/>
      <c r="M13" s="11">
        <f t="shared" si="1"/>
        <v>2027</v>
      </c>
      <c r="N13" s="112">
        <f t="shared" si="6"/>
        <v>7858.0841024774163</v>
      </c>
      <c r="O13" s="113">
        <f t="shared" si="7"/>
        <v>6.0522590259888265E-3</v>
      </c>
      <c r="P13" s="114">
        <f t="shared" si="8"/>
        <v>0.3574759072406769</v>
      </c>
      <c r="Q13" s="115">
        <f t="shared" si="4"/>
        <v>1</v>
      </c>
      <c r="R13" s="30">
        <f>IF(M13=Year_Open_to_Traffic?,Calculations!$J$5,Calculations!R12+(Calculations!R12*Calculations!O13*Q13))</f>
        <v>2411250.2447573659</v>
      </c>
      <c r="S13" s="45">
        <f t="shared" si="0"/>
        <v>1</v>
      </c>
      <c r="T13" s="30">
        <f t="shared" si="5"/>
        <v>2411.2502447573661</v>
      </c>
      <c r="U13" s="31">
        <f>T13/(1+Real_Discount_Rate)^(Calculations!M13-'Assumed Values'!$C$5)</f>
        <v>1311.5603699378171</v>
      </c>
    </row>
    <row r="14" spans="1:21" ht="15.75">
      <c r="A14" s="39" t="s">
        <v>113</v>
      </c>
      <c r="B14" s="120">
        <f>_2045_Peak_Period_Volume/_2045_Peak_Period_Capacity</f>
        <v>0.22136829415310427</v>
      </c>
      <c r="D14" s="39" t="s">
        <v>114</v>
      </c>
      <c r="E14" s="119">
        <f>IF('Inputs &amp; Outputs'!$C$8='CRASH RATES'!$D$3, VLOOKUP('Inputs &amp; Outputs'!$C$7,'CRASH RATES'!$C$14:$J$21,8,FALSE), VLOOKUP('Inputs &amp; Outputs'!$C$7,'CRASH RATES'!$C$28:$J$35,8,FALSE))</f>
        <v>35.422569118718414</v>
      </c>
      <c r="F14" s="85"/>
      <c r="L14" s="106"/>
      <c r="M14" s="107">
        <f>M13+1</f>
        <v>2028</v>
      </c>
      <c r="N14" s="112">
        <f t="shared" si="6"/>
        <v>7905.6432629136143</v>
      </c>
      <c r="O14" s="113">
        <f t="shared" si="7"/>
        <v>6.0522590259888265E-3</v>
      </c>
      <c r="P14" s="114">
        <f>P13*(1+IFERROR(_2025_2040_V_C_Growth,_2018_2045_V_C_Growth))</f>
        <v>0.34808389001724738</v>
      </c>
      <c r="Q14" s="115">
        <f t="shared" si="4"/>
        <v>1</v>
      </c>
      <c r="R14" s="30">
        <f>IF(M14=Year_Open_to_Traffic?,Calculations!$J$5,Calculations!R13+(Calculations!R13*Calculations!O14*Q14))</f>
        <v>2425843.7558151162</v>
      </c>
      <c r="S14" s="45">
        <f t="shared" si="0"/>
        <v>1</v>
      </c>
      <c r="T14" s="30">
        <f t="shared" si="5"/>
        <v>2425.8437558151163</v>
      </c>
      <c r="U14" s="31">
        <f>T14/(1+Real_Discount_Rate)^(Calculations!M14-'Assumed Values'!$C$5)</f>
        <v>1233.1759560980395</v>
      </c>
    </row>
    <row r="15" spans="1:21" ht="15.75">
      <c r="A15" s="39" t="s">
        <v>115</v>
      </c>
      <c r="B15" s="118">
        <f>(B13/B12)^(1/(2025-2018))-1</f>
        <v>2.6929797927202292E-2</v>
      </c>
      <c r="L15" s="106"/>
      <c r="M15" s="11">
        <f>M14+1</f>
        <v>2029</v>
      </c>
      <c r="N15" s="112">
        <f t="shared" si="6"/>
        <v>7953.4902637078312</v>
      </c>
      <c r="O15" s="113">
        <f t="shared" si="7"/>
        <v>6.0522590259888265E-3</v>
      </c>
      <c r="P15" s="114">
        <f>P14*(1+IFERROR(_2025_2040_V_C_Growth,_2018_2045_V_C_Growth))</f>
        <v>0.33893863064725216</v>
      </c>
      <c r="Q15" s="115">
        <f t="shared" si="4"/>
        <v>1</v>
      </c>
      <c r="R15" s="30">
        <f>IF(M15=Year_Open_to_Traffic?,Calculations!$J$5,Calculations!R14+(Calculations!R14*Calculations!O15*Q15))</f>
        <v>2440525.5905818869</v>
      </c>
      <c r="S15" s="45">
        <f t="shared" si="0"/>
        <v>1</v>
      </c>
      <c r="T15" s="30">
        <f t="shared" si="5"/>
        <v>2440.5255905818867</v>
      </c>
      <c r="U15" s="31">
        <f>T15/(1+Real_Discount_Rate)^(Calculations!M15-'Assumed Values'!$C$5)</f>
        <v>1159.476127485015</v>
      </c>
    </row>
    <row r="16" spans="1:21" ht="15.75">
      <c r="A16" s="39" t="s">
        <v>116</v>
      </c>
      <c r="B16" s="118">
        <f>(B14/B13)^(1/(2045-2025))-1</f>
        <v>-2.6273147457476553E-2</v>
      </c>
      <c r="D16" s="121" t="s">
        <v>117</v>
      </c>
      <c r="E16" s="57"/>
      <c r="L16" s="106"/>
      <c r="M16" s="107">
        <f t="shared" si="1"/>
        <v>2030</v>
      </c>
      <c r="N16" s="112">
        <f t="shared" si="6"/>
        <v>8001.6268469444713</v>
      </c>
      <c r="O16" s="113">
        <f t="shared" si="7"/>
        <v>6.0522590259888265E-3</v>
      </c>
      <c r="P16" s="114">
        <f t="shared" si="8"/>
        <v>0.33003364602522173</v>
      </c>
      <c r="Q16" s="115">
        <f t="shared" si="4"/>
        <v>1</v>
      </c>
      <c r="R16" s="30">
        <f>IF(M16=Year_Open_to_Traffic?,Calculations!$J$5,Calculations!R15+(Calculations!R15*Calculations!O16*Q16))</f>
        <v>2455296.2836156427</v>
      </c>
      <c r="S16" s="45">
        <f t="shared" si="0"/>
        <v>1</v>
      </c>
      <c r="T16" s="30">
        <f t="shared" si="5"/>
        <v>2455.2962836156426</v>
      </c>
      <c r="U16" s="31">
        <f>T16/(1+Real_Discount_Rate)^(Calculations!M16-'Assumed Values'!$C$5)</f>
        <v>1090.1809134046775</v>
      </c>
    </row>
    <row r="17" spans="1:21" ht="15.75">
      <c r="A17" s="39" t="s">
        <v>118</v>
      </c>
      <c r="B17" s="118">
        <f>(B14/B12)^(1/(2045-2018))-1</f>
        <v>-1.2750388962349146E-2</v>
      </c>
      <c r="D17" s="39" t="s">
        <v>119</v>
      </c>
      <c r="E17" s="122">
        <f>($E$6*Death_Rate)/100000000</f>
        <v>0.26934378377294443</v>
      </c>
      <c r="L17" s="106"/>
      <c r="M17" s="11">
        <f t="shared" si="1"/>
        <v>2031</v>
      </c>
      <c r="N17" s="112">
        <f t="shared" si="6"/>
        <v>8050.0547652514852</v>
      </c>
      <c r="O17" s="113">
        <f t="shared" si="7"/>
        <v>6.0522590259888265E-3</v>
      </c>
      <c r="P17" s="114">
        <f t="shared" si="8"/>
        <v>0.32136262337727245</v>
      </c>
      <c r="Q17" s="115">
        <f t="shared" si="4"/>
        <v>1</v>
      </c>
      <c r="R17" s="30">
        <f>IF(M17=Year_Open_to_Traffic?,Calculations!$J$5,Calculations!R16+(Calculations!R16*Calculations!O17*Q17))</f>
        <v>2470156.3727096324</v>
      </c>
      <c r="S17" s="45">
        <f t="shared" si="0"/>
        <v>1</v>
      </c>
      <c r="T17" s="30">
        <f t="shared" si="5"/>
        <v>2470.1563727096323</v>
      </c>
      <c r="U17" s="31">
        <f>T17/(1+Real_Discount_Rate)^(Calculations!M17-'Assumed Values'!$C$5)</f>
        <v>1025.0270753998052</v>
      </c>
    </row>
    <row r="18" spans="1:21" ht="15.75">
      <c r="D18" s="39" t="s">
        <v>120</v>
      </c>
      <c r="E18" s="122">
        <f>($E$6*Incap_Injry_Rate)/100000000</f>
        <v>2.5395271041449048</v>
      </c>
      <c r="L18" s="106"/>
      <c r="M18" s="107">
        <f t="shared" si="1"/>
        <v>2032</v>
      </c>
      <c r="N18" s="112">
        <f t="shared" si="6"/>
        <v>8098.775781864183</v>
      </c>
      <c r="O18" s="113">
        <f t="shared" si="7"/>
        <v>6.0522590259888265E-3</v>
      </c>
      <c r="P18" s="114">
        <f t="shared" si="8"/>
        <v>0.31291941578595989</v>
      </c>
      <c r="Q18" s="115">
        <f t="shared" si="4"/>
        <v>1</v>
      </c>
      <c r="R18" s="30">
        <f>IF(M18=Year_Open_to_Traffic?,Calculations!$J$5,Calculations!R17+(Calculations!R17*Calculations!O18*Q18))</f>
        <v>2485106.3989119679</v>
      </c>
      <c r="S18" s="45">
        <f t="shared" si="0"/>
        <v>1</v>
      </c>
      <c r="T18" s="30">
        <f t="shared" si="5"/>
        <v>2485.106398911968</v>
      </c>
      <c r="U18" s="31">
        <f>T18/(1+Real_Discount_Rate)^(Calculations!M18-'Assumed Values'!$C$5)</f>
        <v>963.76710726053909</v>
      </c>
    </row>
    <row r="19" spans="1:21" ht="15.75">
      <c r="D19" s="39" t="s">
        <v>121</v>
      </c>
      <c r="E19" s="122">
        <f>($E$6*Nonincap_Injry_Rate)/100000000</f>
        <v>6.3872954437583971</v>
      </c>
      <c r="L19" s="106"/>
      <c r="M19" s="11">
        <f t="shared" si="1"/>
        <v>2033</v>
      </c>
      <c r="N19" s="112">
        <f t="shared" si="6"/>
        <v>8147.7916706894302</v>
      </c>
      <c r="O19" s="113">
        <f t="shared" si="7"/>
        <v>6.0522590259888265E-3</v>
      </c>
      <c r="P19" s="114">
        <f t="shared" si="8"/>
        <v>0.30469803783270794</v>
      </c>
      <c r="Q19" s="115">
        <f t="shared" si="4"/>
        <v>1</v>
      </c>
      <c r="R19" s="30">
        <f>IF(M19=Year_Open_to_Traffic?,Calculations!$J$5,Calculations!R18+(Calculations!R18*Calculations!O19*Q19))</f>
        <v>2500146.9065453256</v>
      </c>
      <c r="S19" s="45">
        <f t="shared" si="0"/>
        <v>1</v>
      </c>
      <c r="T19" s="30">
        <f t="shared" si="5"/>
        <v>2500.1469065453257</v>
      </c>
      <c r="U19" s="31">
        <f>T19/(1+Real_Discount_Rate)^(Calculations!M19-'Assumed Values'!$C$5)</f>
        <v>906.16829479851185</v>
      </c>
    </row>
    <row r="20" spans="1:21" ht="15.75">
      <c r="D20" s="39" t="s">
        <v>122</v>
      </c>
      <c r="E20" s="122">
        <f>($E$6*Poss_Injry_Rate/100000000)</f>
        <v>5.8870855596086429</v>
      </c>
      <c r="L20" s="106"/>
      <c r="M20" s="107">
        <f t="shared" si="1"/>
        <v>2034</v>
      </c>
      <c r="N20" s="112">
        <f t="shared" si="6"/>
        <v>8197.1042163702368</v>
      </c>
      <c r="O20" s="113">
        <f t="shared" si="7"/>
        <v>6.0522590259888265E-3</v>
      </c>
      <c r="P20" s="114">
        <f t="shared" si="8"/>
        <v>0.29669266135472544</v>
      </c>
      <c r="Q20" s="115">
        <f t="shared" si="4"/>
        <v>1</v>
      </c>
      <c r="R20" s="30">
        <f>IF(M20=Year_Open_to_Traffic?,Calculations!$J$5,Calculations!R19+(Calculations!R19*Calculations!O20*Q20))</f>
        <v>2515278.4432267626</v>
      </c>
      <c r="S20" s="45">
        <f t="shared" si="0"/>
        <v>1</v>
      </c>
      <c r="T20" s="30">
        <f t="shared" si="5"/>
        <v>2515.2784432267626</v>
      </c>
      <c r="U20" s="31">
        <f>T20/(1+Real_Discount_Rate)^(Calculations!M20-'Assumed Values'!$C$5)</f>
        <v>852.01183181287024</v>
      </c>
    </row>
    <row r="21" spans="1:21" ht="15.75">
      <c r="D21" s="39" t="s">
        <v>123</v>
      </c>
      <c r="E21" s="122">
        <f>($E$6*Non_Injry_Rate)/100000000</f>
        <v>84.689381154892956</v>
      </c>
      <c r="L21" s="106"/>
      <c r="M21" s="11">
        <f>M20+1</f>
        <v>2035</v>
      </c>
      <c r="N21" s="112">
        <f t="shared" si="6"/>
        <v>8246.7152143507356</v>
      </c>
      <c r="O21" s="113">
        <f t="shared" si="7"/>
        <v>6.0522590259888265E-3</v>
      </c>
      <c r="P21" s="114">
        <f>P20*(1+IFERROR(_2025_2040_V_C_Growth,_2018_2045_V_C_Growth))</f>
        <v>0.28889761131340158</v>
      </c>
      <c r="Q21" s="115">
        <f t="shared" si="4"/>
        <v>1</v>
      </c>
      <c r="R21" s="30">
        <f>IF(M21=Year_Open_to_Traffic?,Calculations!$J$5,Calculations!R20+(Calculations!R20*Calculations!O21*Q21))</f>
        <v>2530501.5598876569</v>
      </c>
      <c r="S21" s="45">
        <f t="shared" si="0"/>
        <v>1</v>
      </c>
      <c r="T21" s="30">
        <f t="shared" si="5"/>
        <v>2530.5015598876571</v>
      </c>
      <c r="U21" s="31">
        <f>T21/(1+Real_Discount_Rate)^(Calculations!M21-'Assumed Values'!$C$5)</f>
        <v>801.091988889915</v>
      </c>
    </row>
    <row r="22" spans="1:21" ht="15.75">
      <c r="D22" s="39" t="s">
        <v>124</v>
      </c>
      <c r="E22" s="122">
        <f>($E$6*Unkn_Injry_Rate)/100000000</f>
        <v>3.309080772067603</v>
      </c>
      <c r="L22" s="106"/>
      <c r="M22" s="107">
        <f>M21+1</f>
        <v>2036</v>
      </c>
      <c r="N22" s="112">
        <f t="shared" si="6"/>
        <v>8296.62647094155</v>
      </c>
      <c r="O22" s="113">
        <f t="shared" si="7"/>
        <v>6.0522590259888265E-3</v>
      </c>
      <c r="P22" s="114">
        <f t="shared" si="8"/>
        <v>0.28130736177125182</v>
      </c>
      <c r="Q22" s="115">
        <f t="shared" si="4"/>
        <v>1</v>
      </c>
      <c r="R22" s="30">
        <f>IF(M22=Year_Open_to_Traffic?,Calculations!$J$5,Calculations!R21+(Calculations!R21*Calculations!O22*Q22))</f>
        <v>2545816.8107937658</v>
      </c>
      <c r="S22" s="45">
        <f t="shared" si="0"/>
        <v>1</v>
      </c>
      <c r="T22" s="30">
        <f t="shared" si="5"/>
        <v>2545.8168107937659</v>
      </c>
      <c r="U22" s="31">
        <f>T22/(1+Real_Discount_Rate)^(Calculations!M22-'Assumed Values'!$C$5)</f>
        <v>753.21533187880493</v>
      </c>
    </row>
    <row r="23" spans="1:21" ht="15.75">
      <c r="L23" s="106"/>
      <c r="M23" s="11">
        <f t="shared" si="1"/>
        <v>2037</v>
      </c>
      <c r="N23" s="112">
        <f t="shared" si="6"/>
        <v>8346.8398033855647</v>
      </c>
      <c r="O23" s="113">
        <f t="shared" si="7"/>
        <v>6.0522590259888265E-3</v>
      </c>
      <c r="P23" s="114">
        <f t="shared" si="8"/>
        <v>0.27391653197456201</v>
      </c>
      <c r="Q23" s="115">
        <f t="shared" si="4"/>
        <v>1</v>
      </c>
      <c r="R23" s="30">
        <f>IF(M23=Year_Open_to_Traffic?,Calculations!$J$5,Calculations!R22+(Calculations!R22*Calculations!O23*Q23))</f>
        <v>2561224.7535654064</v>
      </c>
      <c r="S23" s="45">
        <f t="shared" si="0"/>
        <v>1</v>
      </c>
      <c r="T23" s="30">
        <f t="shared" si="5"/>
        <v>2561.2247535654064</v>
      </c>
      <c r="U23" s="31">
        <f>T23/(1+Real_Discount_Rate)^(Calculations!M23-'Assumed Values'!$C$5)</f>
        <v>708.19998707446871</v>
      </c>
    </row>
    <row r="24" spans="1:21" ht="15.75">
      <c r="L24" s="106"/>
      <c r="M24" s="107">
        <f t="shared" si="1"/>
        <v>2038</v>
      </c>
      <c r="N24" s="112">
        <f t="shared" si="6"/>
        <v>8397.3570399240871</v>
      </c>
      <c r="O24" s="113">
        <f t="shared" si="7"/>
        <v>6.0522590259888265E-3</v>
      </c>
      <c r="P24" s="114">
        <f t="shared" si="8"/>
        <v>0.26671988253895373</v>
      </c>
      <c r="Q24" s="115">
        <f t="shared" si="4"/>
        <v>1</v>
      </c>
      <c r="R24" s="30">
        <f>IF(M24=Year_Open_to_Traffic?,Calculations!$J$5,Calculations!R23+(Calculations!R23*Calculations!O24*Q24))</f>
        <v>2576725.9491977585</v>
      </c>
      <c r="S24" s="45">
        <f t="shared" si="0"/>
        <v>1</v>
      </c>
      <c r="T24" s="30">
        <f t="shared" si="5"/>
        <v>2576.7259491977584</v>
      </c>
      <c r="U24" s="31">
        <f>T24/(1+Real_Discount_Rate)^(Calculations!M24-'Assumed Values'!$C$5)</f>
        <v>665.87495031630397</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8448.1800198634191</v>
      </c>
      <c r="O25" s="113">
        <f t="shared" si="7"/>
        <v>6.0522590259888265E-3</v>
      </c>
      <c r="P25" s="114">
        <f t="shared" si="8"/>
        <v>0.25971231173516696</v>
      </c>
      <c r="Q25" s="115">
        <f t="shared" si="4"/>
        <v>1</v>
      </c>
      <c r="R25" s="30">
        <f>IF(M25=Year_Open_to_Traffic?,Calculations!$J$5,Calculations!R24+(Calculations!R24*Calculations!O25*Q25))</f>
        <v>2592320.9620812903</v>
      </c>
      <c r="S25" s="45">
        <f t="shared" si="0"/>
        <v>1</v>
      </c>
      <c r="T25" s="30">
        <f t="shared" si="5"/>
        <v>2592.3209620812904</v>
      </c>
      <c r="U25" s="31">
        <f>T25/(1+Real_Discount_Rate)^(Calculations!M25-'Assumed Values'!$C$5)</f>
        <v>626.07943737807079</v>
      </c>
    </row>
    <row r="26" spans="1:21" ht="15.75">
      <c r="A26" s="134"/>
      <c r="B26" s="134"/>
      <c r="D26" s="123">
        <f>Calculations!E17</f>
        <v>0.26934378377294443</v>
      </c>
      <c r="E26" s="123">
        <f>Calculations!E18</f>
        <v>2.5395271041449048</v>
      </c>
      <c r="F26" s="123">
        <f>Calculations!E19</f>
        <v>6.3872954437583971</v>
      </c>
      <c r="G26" s="123">
        <f>Calculations!E20</f>
        <v>5.8870855596086429</v>
      </c>
      <c r="H26" s="123">
        <f>Calculations!E21</f>
        <v>84.689381154892956</v>
      </c>
      <c r="I26" s="123">
        <f>Calculations!E22</f>
        <v>3.309080772067603</v>
      </c>
      <c r="J26" s="135"/>
      <c r="L26" s="106"/>
      <c r="M26" s="107">
        <f t="shared" si="1"/>
        <v>2040</v>
      </c>
      <c r="N26" s="112">
        <f t="shared" si="6"/>
        <v>8499.310593641816</v>
      </c>
      <c r="O26" s="113">
        <f t="shared" si="7"/>
        <v>6.0522590259888265E-3</v>
      </c>
      <c r="P26" s="114">
        <f t="shared" si="8"/>
        <v>0.25288885187242682</v>
      </c>
      <c r="Q26" s="115">
        <f t="shared" si="4"/>
        <v>1</v>
      </c>
      <c r="R26" s="30">
        <f>IF(M26=Year_Open_to_Traffic?,Calculations!$J$5,Calculations!R25+(Calculations!R25*Calculations!O26*Q26))</f>
        <v>2608010.3600223069</v>
      </c>
      <c r="S26" s="45">
        <f t="shared" si="0"/>
        <v>1</v>
      </c>
      <c r="T26" s="30">
        <f t="shared" si="5"/>
        <v>2608.0103600223069</v>
      </c>
      <c r="U26" s="31">
        <f>T26/(1+Real_Discount_Rate)^(Calculations!M26-'Assumed Values'!$C$5)</f>
        <v>588.6622731812414</v>
      </c>
    </row>
    <row r="27" spans="1:21" ht="15.75">
      <c r="A27" s="38" t="s">
        <v>127</v>
      </c>
      <c r="B27" s="39" t="s">
        <v>128</v>
      </c>
      <c r="D27" s="124">
        <f>D$26*'Value of Statistical Life'!D17*Appropriate_Crash_Reduction_Factor</f>
        <v>0</v>
      </c>
      <c r="E27" s="124">
        <f>E$26*'Value of Statistical Life'!E17*Appropriate_Crash_Reduction_Factor</f>
        <v>3.4913418627784153E-2</v>
      </c>
      <c r="F27" s="124">
        <f>F$26*'Value of Statistical Life'!F17*Appropriate_Crash_Reduction_Factor</f>
        <v>0.21325902027620539</v>
      </c>
      <c r="G27" s="124">
        <f>G$26*'Value of Statistical Life'!G17*Appropriate_Crash_Reduction_Factor</f>
        <v>0.55190249704219108</v>
      </c>
      <c r="H27" s="124">
        <f>H$26*'Value of Statistical Life'!H17*Appropriate_Crash_Reduction_Factor</f>
        <v>31.346588783147464</v>
      </c>
      <c r="I27" s="124">
        <f>I$26*'Value of Statistical Life'!I17*Appropriate_Crash_Reduction_Factor</f>
        <v>0.57810964720329849</v>
      </c>
      <c r="J27" s="124">
        <f t="shared" ref="J27:J33" si="9">SUM(D27:I27)</f>
        <v>32.724773366296944</v>
      </c>
      <c r="K27" s="69"/>
      <c r="L27" s="106"/>
      <c r="M27" s="11">
        <f t="shared" si="1"/>
        <v>2041</v>
      </c>
      <c r="N27" s="112">
        <f t="shared" si="6"/>
        <v>8550.7506228968668</v>
      </c>
      <c r="O27" s="113">
        <f t="shared" si="7"/>
        <v>6.0522590259888265E-3</v>
      </c>
      <c r="P27" s="114">
        <f t="shared" si="8"/>
        <v>0.2462446657768306</v>
      </c>
      <c r="Q27" s="115">
        <f t="shared" si="4"/>
        <v>1</v>
      </c>
      <c r="R27" s="30">
        <f>IF(M27=Year_Open_to_Traffic?,Calculations!$J$5,Calculations!R26+(Calculations!R26*Calculations!O27*Q27))</f>
        <v>2623794.7142636245</v>
      </c>
      <c r="S27" s="45">
        <f t="shared" si="0"/>
        <v>1</v>
      </c>
      <c r="T27" s="30">
        <f t="shared" si="5"/>
        <v>2623.7947142636244</v>
      </c>
      <c r="U27" s="31">
        <f>T27/(1+Real_Discount_Rate)^(Calculations!M27-'Assumed Values'!$C$5)</f>
        <v>553.4813175115529</v>
      </c>
    </row>
    <row r="28" spans="1:21" ht="15.75">
      <c r="A28" s="38" t="s">
        <v>129</v>
      </c>
      <c r="B28" s="39" t="s">
        <v>130</v>
      </c>
      <c r="D28" s="124">
        <f>D$26*'Value of Statistical Life'!D18*Appropriate_Crash_Reduction_Factor</f>
        <v>0</v>
      </c>
      <c r="E28" s="124">
        <f>E$26*'Value of Statistical Life'!E18*Appropriate_Crash_Reduction_Factor</f>
        <v>0.56325695359092343</v>
      </c>
      <c r="F28" s="124">
        <f>F$26*'Value of Statistical Life'!F18*Appropriate_Crash_Reduction_Factor</f>
        <v>1.9632757751389058</v>
      </c>
      <c r="G28" s="124">
        <f>G$26*'Value of Statistical Life'!G18*Appropriate_Crash_Reduction_Factor</f>
        <v>1.6235640039711101</v>
      </c>
      <c r="H28" s="124">
        <f>H$26*'Value of Statistical Life'!H18*Appropriate_Crash_Reduction_Factor</f>
        <v>2.4583633561642326</v>
      </c>
      <c r="I28" s="124">
        <f>I$26*'Value of Statistical Life'!I18*Appropriate_Crash_Reduction_Factor</f>
        <v>0.55247088938131872</v>
      </c>
      <c r="J28" s="124">
        <f t="shared" si="9"/>
        <v>7.1609309782464905</v>
      </c>
      <c r="K28" s="69"/>
      <c r="L28" s="106"/>
      <c r="M28" s="107">
        <f t="shared" si="1"/>
        <v>2042</v>
      </c>
      <c r="N28" s="112">
        <f t="shared" si="6"/>
        <v>8602.501980533274</v>
      </c>
      <c r="O28" s="113">
        <f t="shared" si="7"/>
        <v>6.0522590259888265E-3</v>
      </c>
      <c r="P28" s="114">
        <f t="shared" si="8"/>
        <v>0.23977504336225891</v>
      </c>
      <c r="Q28" s="115">
        <f t="shared" si="4"/>
        <v>1</v>
      </c>
      <c r="R28" s="30">
        <f>IF(M28=Year_Open_to_Traffic?,Calculations!$J$5,Calculations!R27+(Calculations!R27*Calculations!O28*Q28))</f>
        <v>2639674.5995053682</v>
      </c>
      <c r="S28" s="45">
        <f t="shared" si="0"/>
        <v>1</v>
      </c>
      <c r="T28" s="30">
        <f t="shared" si="5"/>
        <v>2639.674599505368</v>
      </c>
      <c r="U28" s="31">
        <f>T28/(1+Real_Discount_Rate)^(Calculations!M28-'Assumed Values'!$C$5)</f>
        <v>520.40292505717605</v>
      </c>
    </row>
    <row r="29" spans="1:21" ht="15.75">
      <c r="A29" s="38" t="s">
        <v>131</v>
      </c>
      <c r="B29" s="39" t="s">
        <v>132</v>
      </c>
      <c r="D29" s="124">
        <f>D$26*'Value of Statistical Life'!D19*Appropriate_Crash_Reduction_Factor</f>
        <v>0</v>
      </c>
      <c r="E29" s="124">
        <f>E$26*'Value of Statistical Life'!E19*Appropriate_Crash_Reduction_Factor</f>
        <v>0.2123857307738467</v>
      </c>
      <c r="F29" s="124">
        <f>F$26*'Value of Statistical Life'!F19*Appropriate_Crash_Reduction_Factor</f>
        <v>0.27843498298431602</v>
      </c>
      <c r="G29" s="124">
        <f>G$26*'Value of Statistical Life'!G19*Appropriate_Crash_Reduction_Factor</f>
        <v>0.15049745524583535</v>
      </c>
      <c r="H29" s="124">
        <f>H$26*'Value of Statistical Life'!H19*Appropriate_Crash_Reduction_Factor</f>
        <v>6.7073989874675222E-2</v>
      </c>
      <c r="I29" s="124">
        <f>I$26*'Value of Statistical Life'!I19*Appropriate_Crash_Reduction_Factor</f>
        <v>0.11743265843913508</v>
      </c>
      <c r="J29" s="124">
        <f t="shared" si="9"/>
        <v>0.82582481731780832</v>
      </c>
      <c r="K29" s="69"/>
      <c r="L29" s="106"/>
      <c r="M29" s="11">
        <f t="shared" si="1"/>
        <v>2043</v>
      </c>
      <c r="N29" s="112">
        <f t="shared" si="6"/>
        <v>8654.5665507910435</v>
      </c>
      <c r="O29" s="113">
        <f t="shared" si="7"/>
        <v>6.0522590259888265E-3</v>
      </c>
      <c r="P29" s="114">
        <f t="shared" si="8"/>
        <v>0.23347539829137945</v>
      </c>
      <c r="Q29" s="115">
        <f t="shared" si="4"/>
        <v>1</v>
      </c>
      <c r="R29" s="30">
        <f>IF(M29=Year_Open_to_Traffic?,Calculations!$J$5,Calculations!R28+(Calculations!R28*Calculations!O29*Q29))</f>
        <v>2655650.593925898</v>
      </c>
      <c r="S29" s="45">
        <f t="shared" si="0"/>
        <v>1</v>
      </c>
      <c r="T29" s="30">
        <f t="shared" si="5"/>
        <v>2655.6505939258977</v>
      </c>
      <c r="U29" s="31">
        <f>T29/(1+Real_Discount_Rate)^(Calculations!M29-'Assumed Values'!$C$5)</f>
        <v>489.30143771729371</v>
      </c>
    </row>
    <row r="30" spans="1:21" ht="15.75">
      <c r="A30" s="38" t="s">
        <v>133</v>
      </c>
      <c r="B30" s="39" t="s">
        <v>134</v>
      </c>
      <c r="D30" s="124">
        <f>D$26*'Value of Statistical Life'!D20*Appropriate_Crash_Reduction_Factor</f>
        <v>0</v>
      </c>
      <c r="E30" s="124">
        <f>E$26*'Value of Statistical Life'!E20*Appropriate_Crash_Reduction_Factor</f>
        <v>0.14665261121015996</v>
      </c>
      <c r="F30" s="124">
        <f>F$26*'Value of Statistical Life'!F20*Appropriate_Crash_Reduction_Factor</f>
        <v>8.1527439044132177E-2</v>
      </c>
      <c r="G30" s="124">
        <f>G$26*'Value of Statistical Life'!G20*Appropriate_Crash_Reduction_Factor</f>
        <v>2.5220274537363432E-2</v>
      </c>
      <c r="H30" s="124">
        <f>H$26*'Value of Statistical Life'!H20*Appropriate_Crash_Reduction_Factor</f>
        <v>2.710060196956575E-3</v>
      </c>
      <c r="I30" s="124">
        <f>I$26*'Value of Statistical Life'!I20*Appropriate_Crash_Reduction_Factor</f>
        <v>6.3759368316198578E-2</v>
      </c>
      <c r="J30" s="124">
        <f t="shared" si="9"/>
        <v>0.31986975330481071</v>
      </c>
      <c r="K30" s="69"/>
      <c r="L30" s="106"/>
      <c r="M30" s="11">
        <f t="shared" si="1"/>
        <v>2044</v>
      </c>
      <c r="N30" s="112">
        <f t="shared" si="6"/>
        <v>8706.9462293140896</v>
      </c>
      <c r="O30" s="113">
        <f t="shared" si="7"/>
        <v>6.0522590259888265E-3</v>
      </c>
      <c r="P30" s="114">
        <f t="shared" si="8"/>
        <v>0.22734126472437696</v>
      </c>
      <c r="Q30" s="115">
        <f t="shared" si="4"/>
        <v>1</v>
      </c>
      <c r="R30" s="30">
        <f>IF(M30=Year_Open_to_Traffic?,Calculations!$J$5,Calculations!R29+(Calculations!R29*Calculations!O30*Q30))</f>
        <v>2671723.2792028585</v>
      </c>
      <c r="S30" s="45">
        <f t="shared" si="0"/>
        <v>1</v>
      </c>
      <c r="T30" s="30">
        <f t="shared" si="5"/>
        <v>2671.7232792028585</v>
      </c>
      <c r="U30" s="31">
        <f>T30/(1+Real_Discount_Rate)^(Calculations!M30-'Assumed Values'!$C$5)</f>
        <v>460.05870725247439</v>
      </c>
    </row>
    <row r="31" spans="1:21" ht="15.75">
      <c r="A31" s="38" t="s">
        <v>135</v>
      </c>
      <c r="B31" s="39" t="s">
        <v>136</v>
      </c>
      <c r="D31" s="124">
        <f>D$26*'Value of Statistical Life'!D21*Appropriate_Crash_Reduction_Factor</f>
        <v>0</v>
      </c>
      <c r="E31" s="124">
        <f>E$26*'Value of Statistical Life'!E21*Appropriate_Crash_Reduction_Factor</f>
        <v>4.0490220148486362E-2</v>
      </c>
      <c r="F31" s="124">
        <f>F$26*'Value of Statistical Life'!F21*Appropriate_Crash_Reduction_Factor</f>
        <v>1.5840492700520827E-2</v>
      </c>
      <c r="G31" s="124">
        <f>G$26*'Value of Statistical Life'!G21*Appropriate_Crash_Reduction_Factor</f>
        <v>3.3438645978577093E-3</v>
      </c>
      <c r="H31" s="124">
        <f>H$26*'Value of Statistical Life'!H21*Appropriate_Crash_Reduction_Factor</f>
        <v>0</v>
      </c>
      <c r="I31" s="124">
        <f>I$26*'Value of Statistical Life'!I21*Appropriate_Crash_Reduction_Factor</f>
        <v>8.1668113454628453E-3</v>
      </c>
      <c r="J31" s="124">
        <f t="shared" si="9"/>
        <v>6.7841388792327748E-2</v>
      </c>
      <c r="K31" s="69"/>
      <c r="L31" s="106"/>
      <c r="M31" s="11">
        <f t="shared" si="1"/>
        <v>2045</v>
      </c>
      <c r="N31" s="112">
        <f t="shared" si="6"/>
        <v>8759.642923219255</v>
      </c>
      <c r="O31" s="113">
        <f t="shared" si="7"/>
        <v>6.0522590259888265E-3</v>
      </c>
      <c r="P31" s="114">
        <f t="shared" si="8"/>
        <v>0.22136829415310419</v>
      </c>
      <c r="Q31" s="115">
        <f t="shared" si="4"/>
        <v>1</v>
      </c>
      <c r="R31" s="30">
        <f>IF(M31=Year_Open_to_Traffic?,Calculations!$J$5,Calculations!R30+(Calculations!R30*Calculations!O31*Q31))</f>
        <v>2687893.2405343582</v>
      </c>
      <c r="S31" s="45">
        <f t="shared" si="0"/>
        <v>1</v>
      </c>
      <c r="T31" s="30">
        <f t="shared" si="5"/>
        <v>2687.893240534358</v>
      </c>
      <c r="U31" s="31">
        <f>T31/(1+Real_Discount_Rate)^(Calculations!M31-'Assumed Values'!$C$5)</f>
        <v>432.56364646348385</v>
      </c>
    </row>
    <row r="32" spans="1:21" ht="15.75">
      <c r="A32" s="38" t="s">
        <v>137</v>
      </c>
      <c r="B32" s="39" t="s">
        <v>138</v>
      </c>
      <c r="D32" s="124">
        <f>D$26*'Value of Statistical Life'!D22*Appropriate_Crash_Reduction_Factor</f>
        <v>0</v>
      </c>
      <c r="E32" s="124">
        <f>E$26*'Value of Statistical Life'!E22*Appropriate_Crash_Reduction_Factor</f>
        <v>1.811190730676146E-2</v>
      </c>
      <c r="F32" s="124">
        <f>F$26*'Value of Statistical Life'!F22*Appropriate_Crash_Reduction_Factor</f>
        <v>2.580467359278393E-3</v>
      </c>
      <c r="G32" s="124">
        <f>G$26*'Value of Statistical Life'!G22*Appropriate_Crash_Reduction_Factor</f>
        <v>3.0612844909964942E-4</v>
      </c>
      <c r="H32" s="124">
        <f>H$26*'Value of Statistical Life'!H22*Appropriate_Crash_Reduction_Factor</f>
        <v>1.0162725738587155E-3</v>
      </c>
      <c r="I32" s="124">
        <f>I$26*'Value of Statistical Life'!I22*Appropriate_Crash_Reduction_Factor</f>
        <v>3.6929341416274452E-3</v>
      </c>
      <c r="J32" s="124">
        <f t="shared" si="9"/>
        <v>2.5707709830625664E-2</v>
      </c>
      <c r="K32" s="69"/>
      <c r="L32" s="106"/>
      <c r="M32" s="11">
        <f t="shared" si="1"/>
        <v>2046</v>
      </c>
      <c r="N32" s="112">
        <f t="shared" si="6"/>
        <v>8812.6585511657486</v>
      </c>
      <c r="O32" s="113">
        <f t="shared" si="7"/>
        <v>6.0522590259888265E-3</v>
      </c>
      <c r="P32" s="114">
        <f t="shared" si="8"/>
        <v>0.21555225231840963</v>
      </c>
      <c r="Q32" s="115">
        <f t="shared" si="4"/>
        <v>1</v>
      </c>
      <c r="R32" s="30">
        <f>IF(M32=Year_Open_to_Traffic?,Calculations!$J$5,Calculations!R31+(Calculations!R31*Calculations!O32*Q32))</f>
        <v>2704161.0666602766</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0.10773751350917778</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0.10773751350917778</v>
      </c>
      <c r="K33" s="69"/>
      <c r="L33" s="106"/>
      <c r="M33" s="11">
        <f t="shared" si="1"/>
        <v>2047</v>
      </c>
      <c r="N33" s="112">
        <f t="shared" si="6"/>
        <v>8865.9950434249986</v>
      </c>
      <c r="O33" s="113">
        <f t="shared" si="7"/>
        <v>6.0522590259888265E-3</v>
      </c>
      <c r="P33" s="114">
        <f t="shared" si="8"/>
        <v>0.20988901620845687</v>
      </c>
      <c r="Q33" s="115">
        <f t="shared" si="4"/>
        <v>1</v>
      </c>
      <c r="R33" s="30">
        <f>IF(M33=Year_Open_to_Traffic?,Calculations!$J$5,Calculations!R32+(Calculations!R32*Calculations!O33*Q33))</f>
        <v>2720527.3498836989</v>
      </c>
      <c r="S33" s="45">
        <f t="shared" si="0"/>
        <v>0</v>
      </c>
      <c r="T33" s="30">
        <f t="shared" si="5"/>
        <v>0</v>
      </c>
      <c r="U33" s="31">
        <f>T33/(1+Real_Discount_Rate)^(Calculations!M33-'Assumed Values'!$C$5)</f>
        <v>0</v>
      </c>
    </row>
    <row r="34" spans="1:21" ht="15.75">
      <c r="J34" s="125"/>
      <c r="L34" s="106"/>
      <c r="M34" s="11">
        <f t="shared" si="1"/>
        <v>2048</v>
      </c>
      <c r="N34" s="112">
        <f t="shared" si="6"/>
        <v>8919.6543419509399</v>
      </c>
      <c r="O34" s="113">
        <f t="shared" si="7"/>
        <v>6.0522590259888265E-3</v>
      </c>
      <c r="P34" s="114">
        <f t="shared" si="8"/>
        <v>0.2043745711359074</v>
      </c>
      <c r="Q34" s="115">
        <f t="shared" si="4"/>
        <v>1</v>
      </c>
      <c r="R34" s="30">
        <f>IF(M34=Year_Open_to_Traffic?,Calculations!$J$5,Calculations!R33+(Calculations!R33*Calculations!O34*Q34))</f>
        <v>2736992.6860924819</v>
      </c>
      <c r="S34" s="45">
        <f t="shared" si="0"/>
        <v>0</v>
      </c>
      <c r="T34" s="30">
        <f t="shared" si="5"/>
        <v>0</v>
      </c>
      <c r="U34" s="31">
        <f>T34/(1+Real_Discount_Rate)^(Calculations!M34-'Assumed Values'!$C$5)</f>
        <v>0</v>
      </c>
    </row>
    <row r="35" spans="1:21" ht="15.75">
      <c r="G35" s="41"/>
      <c r="H35" s="41"/>
      <c r="L35" s="106"/>
      <c r="M35" s="11">
        <f t="shared" si="1"/>
        <v>2049</v>
      </c>
      <c r="N35" s="112">
        <f t="shared" si="6"/>
        <v>8973.6384004507127</v>
      </c>
      <c r="O35" s="113">
        <f t="shared" si="7"/>
        <v>6.0522590259888265E-3</v>
      </c>
      <c r="P35" s="114">
        <f t="shared" si="8"/>
        <v>0.19900500789189518</v>
      </c>
      <c r="Q35" s="115">
        <f t="shared" si="4"/>
        <v>1</v>
      </c>
      <c r="R35" s="30">
        <f>IF(M35=Year_Open_to_Traffic?,Calculations!$J$5,Calculations!R34+(Calculations!R34*Calculations!O35*Q35))</f>
        <v>2753557.6747809504</v>
      </c>
      <c r="S35" s="45">
        <f t="shared" si="0"/>
        <v>0</v>
      </c>
      <c r="T35" s="30">
        <f t="shared" si="5"/>
        <v>0</v>
      </c>
      <c r="U35" s="31">
        <f>T35/(1+Real_Discount_Rate)^(Calculations!M35-'Assumed Values'!$C$5)</f>
        <v>0</v>
      </c>
    </row>
    <row r="36" spans="1:21" ht="15.75">
      <c r="G36" s="41"/>
      <c r="H36" s="41"/>
      <c r="L36" s="106"/>
      <c r="M36" s="11">
        <f t="shared" si="1"/>
        <v>2050</v>
      </c>
      <c r="N36" s="112">
        <f t="shared" si="6"/>
        <v>9027.9491844557997</v>
      </c>
      <c r="O36" s="113">
        <f t="shared" si="7"/>
        <v>6.0522590259888265E-3</v>
      </c>
      <c r="P36" s="114">
        <f t="shared" si="8"/>
        <v>0.19377651997477513</v>
      </c>
      <c r="Q36" s="115">
        <f t="shared" si="4"/>
        <v>1</v>
      </c>
      <c r="R36" s="30">
        <f>IF(M36=Year_Open_to_Traffic?,Calculations!$J$5,Calculations!R35+(Calculations!R35*Calculations!O36*Q36))</f>
        <v>2770222.9190717242</v>
      </c>
      <c r="S36" s="45">
        <f t="shared" si="0"/>
        <v>0</v>
      </c>
      <c r="T36" s="30">
        <f t="shared" si="5"/>
        <v>0</v>
      </c>
      <c r="U36" s="31">
        <f>T36/(1+Real_Discount_Rate)^(Calculations!M36-'Assumed Values'!$C$5)</f>
        <v>0</v>
      </c>
    </row>
    <row r="37" spans="1:21">
      <c r="M37" s="39"/>
      <c r="N37" s="39"/>
      <c r="O37" s="118"/>
      <c r="P37" s="120"/>
      <c r="Q37" s="39"/>
      <c r="R37" s="39"/>
      <c r="S37" s="39"/>
      <c r="T37" s="39"/>
      <c r="U37" s="31">
        <f>SUM(U4:U36)</f>
        <v>16535.226814405174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50</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165</v>
      </c>
      <c r="H13" s="54" t="s">
        <v>168</v>
      </c>
      <c r="I13" s="54" t="s">
        <v>171</v>
      </c>
      <c r="J13" s="54" t="s">
        <v>174</v>
      </c>
      <c r="M13" s="39" t="s">
        <v>182</v>
      </c>
      <c r="N13" s="39" t="s">
        <v>183</v>
      </c>
      <c r="O13" s="39" t="s">
        <v>184</v>
      </c>
      <c r="Q13" s="62" t="s">
        <v>49</v>
      </c>
      <c r="R13" s="62" t="s">
        <v>185</v>
      </c>
      <c r="S13" s="62" t="s">
        <v>159</v>
      </c>
      <c r="T13" s="62" t="s">
        <v>163</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165</v>
      </c>
      <c r="H27" s="54" t="s">
        <v>168</v>
      </c>
      <c r="I27" s="54" t="s">
        <v>171</v>
      </c>
      <c r="J27" s="54" t="s">
        <v>174</v>
      </c>
      <c r="M27" s="39" t="s">
        <v>190</v>
      </c>
      <c r="N27" s="39" t="s">
        <v>183</v>
      </c>
      <c r="O27" s="39" t="s">
        <v>184</v>
      </c>
      <c r="Q27" s="62" t="s">
        <v>49</v>
      </c>
      <c r="R27" s="62" t="s">
        <v>185</v>
      </c>
      <c r="S27" s="62" t="s">
        <v>159</v>
      </c>
      <c r="T27" s="62" t="s">
        <v>163</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70</v>
      </c>
      <c r="D32" s="92">
        <v>203</v>
      </c>
      <c r="E32" s="93">
        <v>0.4</v>
      </c>
      <c r="F32" s="94">
        <v>20</v>
      </c>
    </row>
    <row r="33" spans="3:6">
      <c r="C33" s="72" t="s">
        <v>234</v>
      </c>
      <c r="D33" s="92">
        <v>204</v>
      </c>
      <c r="E33" s="93">
        <v>0.46</v>
      </c>
      <c r="F33" s="94">
        <v>20</v>
      </c>
    </row>
    <row r="34" spans="3:6">
      <c r="C34" s="71" t="s">
        <v>235</v>
      </c>
      <c r="D34" s="92">
        <v>205</v>
      </c>
      <c r="E34" s="95">
        <v>0.15</v>
      </c>
      <c r="F34" s="94">
        <v>10</v>
      </c>
    </row>
    <row r="35" spans="3:6">
      <c r="C35" s="71" t="s">
        <v>236</v>
      </c>
      <c r="D35" s="92">
        <v>206</v>
      </c>
      <c r="E35" s="93">
        <v>7.0000000000000007E-2</v>
      </c>
      <c r="F35" s="94">
        <v>10</v>
      </c>
    </row>
    <row r="36" spans="3:6">
      <c r="C36" s="72" t="s">
        <v>237</v>
      </c>
      <c r="D36" s="92">
        <v>207</v>
      </c>
      <c r="E36" s="93">
        <v>0.3</v>
      </c>
      <c r="F36" s="94">
        <v>10</v>
      </c>
    </row>
    <row r="37" spans="3:6">
      <c r="C37" s="71" t="s">
        <v>238</v>
      </c>
      <c r="D37" s="92">
        <v>209</v>
      </c>
      <c r="E37" s="95">
        <v>0.55000000000000004</v>
      </c>
      <c r="F37" s="94">
        <v>20</v>
      </c>
    </row>
    <row r="38" spans="3:6">
      <c r="C38" s="71" t="s">
        <v>239</v>
      </c>
      <c r="D38" s="92">
        <v>217</v>
      </c>
      <c r="E38" s="93">
        <v>0.6</v>
      </c>
      <c r="F38" s="94">
        <v>10</v>
      </c>
    </row>
    <row r="39" spans="3:6">
      <c r="C39" s="71" t="s">
        <v>240</v>
      </c>
      <c r="D39" s="92">
        <v>218</v>
      </c>
      <c r="E39" s="93">
        <v>0.55000000000000004</v>
      </c>
      <c r="F39" s="94">
        <v>20</v>
      </c>
    </row>
    <row r="40" spans="3:6">
      <c r="C40" s="71" t="s">
        <v>241</v>
      </c>
      <c r="D40" s="92">
        <v>219</v>
      </c>
      <c r="E40" s="93">
        <v>0.1</v>
      </c>
      <c r="F40" s="94">
        <v>10</v>
      </c>
    </row>
    <row r="41" spans="3:6">
      <c r="C41" s="71" t="s">
        <v>242</v>
      </c>
      <c r="D41" s="92">
        <v>222</v>
      </c>
      <c r="E41" s="93">
        <v>0.1</v>
      </c>
      <c r="F41" s="94">
        <v>10</v>
      </c>
    </row>
    <row r="42" spans="3:6">
      <c r="C42" s="71" t="s">
        <v>243</v>
      </c>
      <c r="D42" s="92">
        <v>303</v>
      </c>
      <c r="E42" s="93">
        <v>0.42</v>
      </c>
      <c r="F42" s="94">
        <v>10</v>
      </c>
    </row>
    <row r="43" spans="3:6">
      <c r="C43" s="72" t="s">
        <v>244</v>
      </c>
      <c r="D43" s="92">
        <v>304</v>
      </c>
      <c r="E43" s="93">
        <v>0.4</v>
      </c>
      <c r="F43" s="94">
        <v>15</v>
      </c>
    </row>
    <row r="44" spans="3:6">
      <c r="C44" s="71" t="s">
        <v>245</v>
      </c>
      <c r="D44" s="92">
        <v>305</v>
      </c>
      <c r="E44" s="95">
        <v>0.75</v>
      </c>
      <c r="F44" s="94">
        <v>15</v>
      </c>
    </row>
    <row r="45" spans="3:6">
      <c r="C45" s="39" t="s">
        <v>246</v>
      </c>
      <c r="D45" s="94">
        <v>401</v>
      </c>
      <c r="E45" s="96">
        <v>0.2</v>
      </c>
      <c r="F45" s="94">
        <v>2</v>
      </c>
    </row>
    <row r="46" spans="3:6">
      <c r="C46" s="39" t="s">
        <v>247</v>
      </c>
      <c r="D46" s="94">
        <v>402</v>
      </c>
      <c r="E46" s="96">
        <v>0.25</v>
      </c>
      <c r="F46" s="94">
        <v>2</v>
      </c>
    </row>
    <row r="47" spans="3:6">
      <c r="C47" s="72" t="s">
        <v>248</v>
      </c>
      <c r="D47" s="94">
        <v>403</v>
      </c>
      <c r="E47" s="96">
        <v>0.1</v>
      </c>
      <c r="F47" s="94">
        <v>2</v>
      </c>
    </row>
    <row r="48" spans="3:6">
      <c r="C48" s="72" t="s">
        <v>249</v>
      </c>
      <c r="D48" s="94">
        <v>404</v>
      </c>
      <c r="E48" s="96">
        <v>0.65</v>
      </c>
      <c r="F48" s="94">
        <v>2</v>
      </c>
    </row>
    <row r="49" spans="3:6">
      <c r="C49" s="39" t="s">
        <v>250</v>
      </c>
      <c r="D49" s="94">
        <v>407</v>
      </c>
      <c r="E49" s="95">
        <v>0.2</v>
      </c>
      <c r="F49" s="94">
        <v>10</v>
      </c>
    </row>
    <row r="50" spans="3:6">
      <c r="C50" s="71" t="s">
        <v>251</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40FE5F-8C7F-4C8C-8194-6B0652A7000B}"/>
</file>

<file path=customXml/itemProps2.xml><?xml version="1.0" encoding="utf-8"?>
<ds:datastoreItem xmlns:ds="http://schemas.openxmlformats.org/officeDocument/2006/customXml" ds:itemID="{47705C4C-0405-416C-A03F-3557191A90BC}"/>
</file>

<file path=customXml/itemProps3.xml><?xml version="1.0" encoding="utf-8"?>
<ds:datastoreItem xmlns:ds="http://schemas.openxmlformats.org/officeDocument/2006/customXml" ds:itemID="{D75AF1FB-9231-48F9-B31E-F7106898DF0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