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6_HW_FM2920/"/>
    </mc:Choice>
  </mc:AlternateContent>
  <xr:revisionPtr revIDLastSave="22" documentId="8_{203D84DA-D064-4A80-B74E-0EE4092C685E}" xr6:coauthVersionLast="40" xr6:coauthVersionMax="40" xr10:uidLastSave="{E6E280DD-2ED8-4B91-9D2E-4471CE5F7EDB}"/>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B10" i="12"/>
  <c r="B9" i="12"/>
  <c r="B11" i="12"/>
  <c r="O5" i="12"/>
  <c r="N4" i="12"/>
  <c r="N5" i="12"/>
  <c r="O6" i="12"/>
  <c r="N6" i="12"/>
  <c r="O7" i="12"/>
  <c r="N7" i="12"/>
  <c r="O8" i="12"/>
  <c r="N8" i="12"/>
  <c r="O9" i="12"/>
  <c r="N9" i="12"/>
  <c r="O10" i="12"/>
  <c r="N10" i="12"/>
  <c r="O11" i="12"/>
  <c r="N11" i="12"/>
  <c r="O12" i="12"/>
  <c r="N12" i="12"/>
  <c r="E4" i="12"/>
  <c r="E5" i="12"/>
  <c r="E6" i="12"/>
  <c r="E17" i="12"/>
  <c r="D26" i="12"/>
  <c r="C11" i="2"/>
  <c r="C19" i="11"/>
  <c r="C21" i="11"/>
  <c r="B5" i="12"/>
  <c r="C20" i="11"/>
  <c r="O14" i="15"/>
  <c r="R4"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24" i="12"/>
  <c r="O17" i="12"/>
  <c r="O28" i="12"/>
  <c r="O20" i="12"/>
  <c r="O29" i="12"/>
  <c r="O21" i="12"/>
  <c r="O13" i="12"/>
  <c r="O16" i="12"/>
  <c r="O27" i="12"/>
  <c r="O25" i="12"/>
  <c r="O26" i="12"/>
  <c r="O18" i="12"/>
  <c r="O19" i="12"/>
  <c r="O22" i="12"/>
  <c r="O14" i="12"/>
  <c r="O23" i="12"/>
  <c r="B15" i="12"/>
  <c r="M5" i="12"/>
  <c r="S5"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T5" i="12"/>
  <c r="U5" i="12"/>
  <c r="M6" i="12"/>
  <c r="S6" i="12"/>
  <c r="P6" i="12"/>
  <c r="Q6" i="12"/>
  <c r="R6" i="12"/>
  <c r="P7" i="12"/>
  <c r="Q7" i="12"/>
  <c r="R7"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19" i="12"/>
  <c r="F26" i="12"/>
  <c r="E18" i="12"/>
  <c r="E26" i="12"/>
  <c r="E31" i="12"/>
  <c r="E21" i="12"/>
  <c r="H26" i="12"/>
  <c r="E22" i="12"/>
  <c r="I26" i="12"/>
  <c r="E20" i="12"/>
  <c r="G26" i="12"/>
  <c r="G32" i="12"/>
  <c r="G19" i="7"/>
  <c r="H18" i="7"/>
  <c r="I18" i="7"/>
  <c r="J18" i="7"/>
  <c r="H27" i="5"/>
  <c r="I27" i="5"/>
  <c r="J27" i="5"/>
  <c r="K27" i="5"/>
  <c r="G28" i="5"/>
  <c r="S20" i="12"/>
  <c r="P21" i="12"/>
  <c r="Q20" i="12"/>
  <c r="G27" i="12"/>
  <c r="G28" i="12"/>
  <c r="G29" i="12"/>
  <c r="E32" i="12"/>
  <c r="E29" i="12"/>
  <c r="E28" i="12"/>
  <c r="E33" i="12"/>
  <c r="H28" i="5"/>
  <c r="I28" i="5"/>
  <c r="J28" i="5"/>
  <c r="K28" i="5"/>
  <c r="G29" i="5"/>
  <c r="G20" i="7"/>
  <c r="H19" i="7"/>
  <c r="I19" i="7"/>
  <c r="J19" i="7"/>
  <c r="S21" i="12"/>
  <c r="P22" i="12"/>
  <c r="Q21" i="12"/>
  <c r="H20" i="7"/>
  <c r="I20" i="7"/>
  <c r="J20" i="7"/>
  <c r="G21" i="7"/>
  <c r="J29" i="5"/>
  <c r="K29" i="5"/>
  <c r="H29" i="5"/>
  <c r="S22" i="12"/>
  <c r="P23" i="12"/>
  <c r="Q22" i="12"/>
  <c r="H21" i="7"/>
  <c r="I21" i="7"/>
  <c r="J21" i="7"/>
  <c r="G22" i="7"/>
  <c r="I29" i="5"/>
  <c r="B13" i="5"/>
  <c r="S23" i="12"/>
  <c r="P24" i="12"/>
  <c r="Q23" i="12"/>
  <c r="T4" i="12"/>
  <c r="U4" i="12"/>
  <c r="T6" i="12"/>
  <c r="U6" i="12"/>
  <c r="T7" i="12"/>
  <c r="U7" i="12"/>
  <c r="R8" i="12"/>
  <c r="T8" i="12"/>
  <c r="U8" i="12"/>
  <c r="R9" i="12"/>
  <c r="T9" i="12"/>
  <c r="U9" i="12"/>
  <c r="R10" i="12"/>
  <c r="T10" i="12"/>
  <c r="U10" i="12"/>
  <c r="R11" i="12"/>
  <c r="T11" i="12"/>
  <c r="U11" i="12"/>
  <c r="G23" i="7"/>
  <c r="H22" i="7"/>
  <c r="I22" i="7"/>
  <c r="J22" i="7"/>
  <c r="S24" i="12"/>
  <c r="P25" i="12"/>
  <c r="Q24" i="12"/>
  <c r="G24" i="7"/>
  <c r="H23" i="7"/>
  <c r="I23" i="7"/>
  <c r="J23" i="7"/>
  <c r="S25" i="12"/>
  <c r="P26" i="12"/>
  <c r="Q25" i="12"/>
  <c r="H24" i="7"/>
  <c r="I24" i="7"/>
  <c r="J24" i="7"/>
  <c r="G25" i="7"/>
  <c r="S26" i="12"/>
  <c r="P27" i="12"/>
  <c r="Q26" i="12"/>
  <c r="H25" i="7"/>
  <c r="I25" i="7"/>
  <c r="J25" i="7"/>
  <c r="G26" i="7"/>
  <c r="S27" i="12"/>
  <c r="P28" i="12"/>
  <c r="Q27" i="12"/>
  <c r="G27" i="7"/>
  <c r="H26" i="7"/>
  <c r="I26" i="7"/>
  <c r="J26" i="7"/>
  <c r="S28" i="12"/>
  <c r="P29" i="12"/>
  <c r="Q28" i="12"/>
  <c r="G28" i="7"/>
  <c r="H27" i="7"/>
  <c r="I27" i="7"/>
  <c r="J27" i="7"/>
  <c r="Q29" i="12"/>
  <c r="P30" i="12"/>
  <c r="Q30" i="12"/>
  <c r="S29" i="12"/>
  <c r="H28" i="7"/>
  <c r="I28" i="7"/>
  <c r="J28" i="7"/>
  <c r="G29" i="7"/>
  <c r="P31" i="12"/>
  <c r="Q31" i="12"/>
  <c r="S30" i="12"/>
  <c r="H29" i="7"/>
  <c r="I29" i="7"/>
  <c r="J29" i="7"/>
  <c r="B11" i="7"/>
  <c r="B12" i="7"/>
  <c r="S32" i="12"/>
  <c r="P32" i="12"/>
  <c r="Q32" i="12"/>
  <c r="S31" i="12"/>
  <c r="S33" i="12"/>
  <c r="P33" i="12"/>
  <c r="Q33" i="12"/>
  <c r="S34" i="12"/>
  <c r="P34" i="12"/>
  <c r="Q34" i="12"/>
  <c r="S35" i="12"/>
  <c r="P35" i="12"/>
  <c r="Q35" i="12"/>
  <c r="S36" i="12"/>
  <c r="P36" i="12"/>
  <c r="Q36" i="12"/>
  <c r="F32" i="12"/>
  <c r="F33" i="12"/>
  <c r="F27" i="12"/>
  <c r="F28" i="12"/>
  <c r="F29" i="12"/>
  <c r="F31" i="12"/>
  <c r="F30" i="12"/>
  <c r="I30" i="12"/>
  <c r="I29" i="12"/>
  <c r="I33" i="12"/>
  <c r="I31" i="12"/>
  <c r="I27" i="12"/>
  <c r="I28" i="12"/>
  <c r="I32" i="12"/>
  <c r="H29" i="12"/>
  <c r="H30" i="12"/>
  <c r="H33" i="12"/>
  <c r="H31" i="12"/>
  <c r="H32" i="12"/>
  <c r="H27" i="12"/>
  <c r="H28" i="12"/>
  <c r="D31" i="12"/>
  <c r="G31" i="12"/>
  <c r="J31" i="12"/>
  <c r="D32" i="12"/>
  <c r="J32" i="12"/>
  <c r="D30" i="12"/>
  <c r="E30" i="12"/>
  <c r="G30" i="12"/>
  <c r="J30" i="12"/>
  <c r="D27" i="12"/>
  <c r="E27" i="12"/>
  <c r="J27" i="12"/>
  <c r="D29" i="12"/>
  <c r="J29" i="12"/>
  <c r="D28" i="12"/>
  <c r="J28" i="12"/>
  <c r="D33" i="12"/>
  <c r="G33" i="12"/>
  <c r="J33" i="12"/>
  <c r="J5" i="12"/>
  <c r="R12" i="12"/>
  <c r="T12" i="12"/>
  <c r="U12"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<sst xmlns="http://schemas.openxmlformats.org/spreadsheetml/2006/main" count="441" uniqueCount="286">
  <si>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</si>
  <si>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</si>
  <si>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</si>
  <si>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</si>
  <si>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</si>
  <si>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</si>
  <si>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</si>
  <si>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</si>
  <si>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</si>
  <si>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</si>
  <si>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</si>
  <si>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</si>
  <si>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</si>
  <si>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</si>
  <si>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</si>
  <si>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</si>
  <si>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</si>
  <si>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</si>
  <si>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</si>
  <si>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</si>
  <si>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</si>
  <si>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</si>
  <si>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</si>
  <si>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</si>
  <si>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</si>
  <si>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</si>
  <si>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</si>
  <si>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</si>
  <si>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</si>
  <si>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</si>
  <si>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</si>
  <si>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</si>
  <si>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</si>
  <si>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</si>
  <si>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</si>
  <si>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</si>
  <si>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</si>
  <si>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</si>
  <si>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</si>
  <si>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</si>
  <si>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</si>
  <si>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</si>
  <si>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</si>
  <si>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</si>
  <si>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</si>
  <si>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</si>
  <si>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</si>
  <si>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</si>
  <si>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2920 Widening</t>
  </si>
  <si>
    <t>County</t>
  </si>
  <si>
    <t>Harris</t>
  </si>
  <si>
    <t>Data entered by the sponsors</t>
  </si>
  <si>
    <t>Facility Type</t>
  </si>
  <si>
    <t>Non-Freeway</t>
  </si>
  <si>
    <t>HGAC regional travel demand model data provided by HGAC upon request</t>
  </si>
  <si>
    <t>Street Name:</t>
  </si>
  <si>
    <t>FM 2920</t>
  </si>
  <si>
    <t>Populated based on selection in cell "C18"</t>
  </si>
  <si>
    <t>Limits (From)</t>
  </si>
  <si>
    <t>Rosehill Rd</t>
  </si>
  <si>
    <t>Benefits calculated by the template</t>
  </si>
  <si>
    <t>Limits (To)</t>
  </si>
  <si>
    <t>SH 249</t>
  </si>
  <si>
    <t>Length (in Miles)</t>
  </si>
  <si>
    <t>Application ID Number:</t>
  </si>
  <si>
    <t>Sponsor ID Number (CSJ, etc.):</t>
  </si>
  <si>
    <t>2941-01-028</t>
  </si>
  <si>
    <t>Proposed Improvements Information</t>
  </si>
  <si>
    <r>
      <t xml:space="preserve">Year Open to Traffic? </t>
    </r>
    <r>
      <rPr>
        <b/>
        <sz val="11"/>
        <color theme="1"/>
        <rFont val="Calibri"/>
        <family val="2"/>
        <scheme val="minor"/>
      </rPr>
      <t>(Must be &gt;=2021)</t>
    </r>
  </si>
  <si>
    <t>Safety Improvement Type</t>
  </si>
  <si>
    <t>Modernize Facility to Design Standards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</si>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</sst>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2" zoomScaleNormal="100" workbookViewId="0" xr3:uid="{51F8DEE0-4D01-5F28-A812-FC0BD7CAC4A5}">
      <selection activeCell="D31" sqref="D31"/>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4.12</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2026</v>
      </c>
      <c r="D17" s="80"/>
    </row>
    <row r="18" spans="2:13" ht="30">
      <c r="B18" s="3" t="s">
        <v>69</v>
      </c>
      <c r="C18" s="98" t="s">
        <v>70</v>
      </c>
    </row>
    <row r="19" spans="2:13">
      <c r="B19" s="99" t="s">
        <v>71</v>
      </c>
      <c r="C19" s="128">
        <f>VLOOKUP(C18,'CRF Lookup Table'!C3:F84,2, FALSE)</f>
        <v>501</v>
      </c>
      <c r="D19" s="81"/>
    </row>
    <row r="20" spans="2:13">
      <c r="B20" s="99" t="s">
        <v>72</v>
      </c>
      <c r="C20" s="129">
        <f>VLOOKUP(C18,'CRF Lookup Table'!C3:F84,3, FALSE)</f>
        <v>0.15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25651</v>
      </c>
      <c r="D25" s="82"/>
      <c r="I25" s="41"/>
    </row>
    <row r="26" spans="2:13">
      <c r="I26" s="41"/>
    </row>
    <row r="27" spans="2:13">
      <c r="B27" s="73" t="s">
        <v>76</v>
      </c>
      <c r="C27" s="74">
        <v>13501</v>
      </c>
      <c r="D27" s="82"/>
      <c r="I27" s="41"/>
    </row>
    <row r="28" spans="2:13">
      <c r="B28" s="73" t="s">
        <v>77</v>
      </c>
      <c r="C28" s="74">
        <v>22499</v>
      </c>
      <c r="D28" s="82"/>
      <c r="I28" s="41"/>
    </row>
    <row r="29" spans="2:13">
      <c r="B29" s="73" t="s">
        <v>78</v>
      </c>
      <c r="C29" s="75">
        <v>14794</v>
      </c>
      <c r="D29" s="58"/>
      <c r="I29" s="41"/>
    </row>
    <row r="30" spans="2:13">
      <c r="B30" s="73" t="s">
        <v>79</v>
      </c>
      <c r="C30" s="75">
        <v>22499</v>
      </c>
      <c r="D30" s="58"/>
      <c r="I30" s="41"/>
    </row>
    <row r="31" spans="2:13">
      <c r="B31" s="73" t="s">
        <v>80</v>
      </c>
      <c r="C31" s="74">
        <v>27234</v>
      </c>
      <c r="D31" s="82"/>
      <c r="H31" s="59"/>
    </row>
    <row r="32" spans="2:13">
      <c r="B32" s="73" t="s">
        <v>81</v>
      </c>
      <c r="C32" s="74">
        <v>32841</v>
      </c>
      <c r="D32" s="82"/>
    </row>
    <row r="34" spans="2:9" ht="18.75">
      <c r="B34" s="43" t="s">
        <v>82</v>
      </c>
      <c r="C34" s="44"/>
      <c r="D34" s="44"/>
      <c r="E34" s="44"/>
      <c r="F34" s="44"/>
      <c r="I34" s="59"/>
    </row>
    <row r="36" spans="2:9">
      <c r="B36" s="9" t="s">
        <v>83</v>
      </c>
    </row>
    <row r="37" spans="2:9">
      <c r="B37" s="8" t="s">
        <v>84</v>
      </c>
      <c r="C37" s="34">
        <f>Calculations!U37</f>
        <v>20770.124056517194</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28978.457774311639</v>
      </c>
      <c r="G4" s="136" t="s">
        <v>95</v>
      </c>
      <c r="H4" s="136"/>
      <c r="I4" s="136"/>
      <c r="J4" s="136"/>
      <c r="L4" s="106"/>
      <c r="M4" s="107">
        <v>2018</v>
      </c>
      <c r="N4" s="108">
        <f>_2018_Volume_ADT</f>
        <v>25651</v>
      </c>
      <c r="O4" s="109" t="s">
        <v>96</v>
      </c>
      <c r="P4" s="110">
        <f>MIN(B12,1)</f>
        <v>0.60007111427174542</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119391.24603016395</v>
      </c>
      <c r="G5" s="137" t="s">
        <v>99</v>
      </c>
      <c r="H5" s="137"/>
      <c r="I5" s="137"/>
      <c r="J5" s="111">
        <f>SUMPRODUCT(Possible_Crash_Reductions,'Value of Statistical Life'!E5:E11)</f>
        <v>2482108.2240493493</v>
      </c>
      <c r="L5" s="106"/>
      <c r="M5" s="11">
        <f t="shared" ref="M5:M36" si="1">M4+1</f>
        <v>2019</v>
      </c>
      <c r="N5" s="112">
        <f>N4+(N4*O5)</f>
        <v>25988.340020840122</v>
      </c>
      <c r="O5" s="113">
        <f t="shared" ref="O5:O11" si="2">IF(ISERROR(_2025_2045_Demand_Growth),_2018_2045_Demand_Growth,_2018_2025_Demand_Growth)</f>
        <v>1.3151145017352928E-2</v>
      </c>
      <c r="P5" s="114">
        <f t="shared" ref="P5:P11" si="3">P4*(1+IFERROR(_2018_2025_V_C_Growth,_2018_2045_V_C_Growth))</f>
        <v>0.60796273651625765</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31041723.967842627</v>
      </c>
      <c r="L6" s="106"/>
      <c r="M6" s="107">
        <f t="shared" si="1"/>
        <v>2020</v>
      </c>
      <c r="N6" s="112">
        <f t="shared" ref="N6:N36" si="6">N5+(N5*O6)</f>
        <v>26330.116449214467</v>
      </c>
      <c r="O6" s="113">
        <f t="shared" si="2"/>
        <v>1.3151145017352928E-2</v>
      </c>
      <c r="P6" s="114">
        <f t="shared" si="3"/>
        <v>0.61595814262932969</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26676.387628961875</v>
      </c>
      <c r="O7" s="113">
        <f t="shared" si="2"/>
        <v>1.3151145017352928E-2</v>
      </c>
      <c r="P7" s="114">
        <f t="shared" si="3"/>
        <v>0.6240586974876674</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27027.212671209472</v>
      </c>
      <c r="O8" s="113">
        <f t="shared" si="2"/>
        <v>1.3151145017352928E-2</v>
      </c>
      <c r="P8" s="114">
        <f t="shared" si="3"/>
        <v>0.63226578391766808</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1.3151145017352928E-2</v>
      </c>
      <c r="D9" s="39" t="s">
        <v>104</v>
      </c>
      <c r="E9" s="119">
        <f>IF('Inputs &amp; Outputs'!$C$8='CRASH RATES'!$D$3, VLOOKUP('Inputs &amp; Outputs'!$C$7,'CRASH RATES'!$C$14:$J$21,3,FALSE), VLOOKUP('Inputs &amp; Outputs'!$C$7,'CRASH RATES'!$C$28:$J$35,3,FALSE))</f>
        <v>1.7455741549787349</v>
      </c>
      <c r="F9" s="85"/>
      <c r="L9" s="106"/>
      <c r="M9" s="11">
        <f t="shared" si="1"/>
        <v>2023</v>
      </c>
      <c r="N9" s="112">
        <f t="shared" si="6"/>
        <v>27382.651464463386</v>
      </c>
      <c r="O9" s="113">
        <f t="shared" si="2"/>
        <v>1.3151145017352928E-2</v>
      </c>
      <c r="P9" s="114">
        <f t="shared" si="3"/>
        <v>0.64058080293147968</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3.0982493708844316E-2</v>
      </c>
      <c r="D10" s="39" t="s">
        <v>106</v>
      </c>
      <c r="E10" s="119">
        <f>IF('Inputs &amp; Outputs'!$C$8='CRASH RATES'!$D$3, VLOOKUP('Inputs &amp; Outputs'!$C$7,'CRASH RATES'!$C$14:$J$21,4,FALSE), VLOOKUP('Inputs &amp; Outputs'!$C$7,'CRASH RATES'!$C$28:$J$35,4,FALSE))</f>
        <v>8.8235958091989612</v>
      </c>
      <c r="F10" s="85"/>
      <c r="L10" s="106"/>
      <c r="M10" s="107">
        <f t="shared" si="1"/>
        <v>2024</v>
      </c>
      <c r="N10" s="112">
        <f t="shared" si="6"/>
        <v>27742.764684832175</v>
      </c>
      <c r="O10" s="113">
        <f t="shared" si="2"/>
        <v>1.3151145017352928E-2</v>
      </c>
      <c r="P10" s="114">
        <f t="shared" si="3"/>
        <v>0.64900517396616397</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2.6329637343451839E-2</v>
      </c>
      <c r="D11" s="39" t="s">
        <v>108</v>
      </c>
      <c r="E11" s="119">
        <f>IF('Inputs &amp; Outputs'!$C$8='CRASH RATES'!$D$3, VLOOKUP('Inputs &amp; Outputs'!$C$7,'CRASH RATES'!$C$14:$J$21,5,FALSE), VLOOKUP('Inputs &amp; Outputs'!$C$7,'CRASH RATES'!$C$28:$J$35,5,FALSE))</f>
        <v>49.782648723119337</v>
      </c>
      <c r="F11" s="85"/>
      <c r="L11" s="106"/>
      <c r="M11" s="11">
        <f t="shared" si="1"/>
        <v>2025</v>
      </c>
      <c r="N11" s="112">
        <f t="shared" si="6"/>
        <v>28107.613806384699</v>
      </c>
      <c r="O11" s="113">
        <f t="shared" si="2"/>
        <v>1.3151145017352928E-2</v>
      </c>
      <c r="P11" s="114">
        <f t="shared" si="3"/>
        <v>0.6575403351260054</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75">
      <c r="A12" s="39" t="s">
        <v>109</v>
      </c>
      <c r="B12" s="120">
        <f>'Inputs &amp; Outputs'!C27/_2018_Peak_Period_Capacity</f>
        <v>0.60007111427174542</v>
      </c>
      <c r="D12" s="39" t="s">
        <v>110</v>
      </c>
      <c r="E12" s="119">
        <f>IF('Inputs &amp; Outputs'!$C$8='CRASH RATES'!$D$3, VLOOKUP('Inputs &amp; Outputs'!$C$7,'CRASH RATES'!$C$14:$J$21,6,FALSE), VLOOKUP('Inputs &amp; Outputs'!$C$7,'CRASH RATES'!$C$28:$J$35,6,FALSE))</f>
        <v>124.27924895011503</v>
      </c>
      <c r="F12" s="85"/>
      <c r="L12" s="106"/>
      <c r="M12" s="107">
        <f t="shared" si="1"/>
        <v>2026</v>
      </c>
      <c r="N12" s="112">
        <f t="shared" si="6"/>
        <v>28978.457774311639</v>
      </c>
      <c r="O12" s="113">
        <f t="shared" ref="O12:O36" si="7">IFERROR(_2025_2045_Demand_Growth,_2018_2045_Demand_Growth)</f>
        <v>3.0982493708844316E-2</v>
      </c>
      <c r="P12" s="114">
        <f t="shared" ref="P12:P36" si="8">P11*(1+IFERROR(_2025_2040_V_C_Growth,_2018_2045_V_C_Growth))</f>
        <v>0.66521346543199666</v>
      </c>
      <c r="Q12" s="115">
        <f t="shared" si="4"/>
        <v>1</v>
      </c>
      <c r="R12" s="30">
        <f>IF(M12=Year_Open_to_Traffic?,Calculations!$J$5,Calculations!R11+(Calculations!R11*Calculations!O12*Q12))</f>
        <v>2482108.2240493493</v>
      </c>
      <c r="S12" s="45">
        <f t="shared" si="0"/>
        <v>1</v>
      </c>
      <c r="T12" s="30">
        <f t="shared" si="5"/>
        <v>2482.1082240493492</v>
      </c>
      <c r="U12" s="31">
        <f>T12/(1+Real_Discount_Rate)^(Calculations!M12-'Assumed Values'!$C$5)</f>
        <v>1444.6095849124795</v>
      </c>
    </row>
    <row r="13" spans="1:21" ht="15.75">
      <c r="A13" s="39" t="s">
        <v>111</v>
      </c>
      <c r="B13" s="120">
        <f>_2025_Peak_Period_Volume/_2025_Peak_Period_Capacity</f>
        <v>0.65754033512600563</v>
      </c>
      <c r="D13" s="39" t="s">
        <v>112</v>
      </c>
      <c r="E13" s="119">
        <f>IF('Inputs &amp; Outputs'!$C$8='CRASH RATES'!$D$3, VLOOKUP('Inputs &amp; Outputs'!$C$7,'CRASH RATES'!$C$14:$J$21,7,FALSE), VLOOKUP('Inputs &amp; Outputs'!$C$7,'CRASH RATES'!$C$28:$J$35,7,FALSE))</f>
        <v>963.65828946693784</v>
      </c>
      <c r="F13" s="85"/>
      <c r="L13" s="106"/>
      <c r="M13" s="11">
        <f t="shared" si="1"/>
        <v>2027</v>
      </c>
      <c r="N13" s="112">
        <f t="shared" si="6"/>
        <v>29876.282659996261</v>
      </c>
      <c r="O13" s="113">
        <f t="shared" si="7"/>
        <v>3.0982493708844316E-2</v>
      </c>
      <c r="P13" s="114">
        <f t="shared" si="8"/>
        <v>0.67297613690458646</v>
      </c>
      <c r="Q13" s="115">
        <f t="shared" si="4"/>
        <v>1</v>
      </c>
      <c r="R13" s="30">
        <f>IF(M13=Year_Open_to_Traffic?,Calculations!$J$5,Calculations!R12+(Calculations!R12*Calculations!O13*Q13))</f>
        <v>2559010.126485629</v>
      </c>
      <c r="S13" s="45">
        <f t="shared" si="0"/>
        <v>1</v>
      </c>
      <c r="T13" s="30">
        <f t="shared" si="5"/>
        <v>2559.0101264856289</v>
      </c>
      <c r="U13" s="31">
        <f>T13/(1+Real_Discount_Rate)^(Calculations!M13-'Assumed Values'!$C$5)</f>
        <v>1391.9319554100621</v>
      </c>
    </row>
    <row r="14" spans="1:21" ht="15.75">
      <c r="A14" s="39" t="s">
        <v>113</v>
      </c>
      <c r="B14" s="120">
        <f>_2045_Peak_Period_Volume/_2045_Peak_Period_Capacity</f>
        <v>0.82926829268292679</v>
      </c>
      <c r="D14" s="39" t="s">
        <v>114</v>
      </c>
      <c r="E14" s="119">
        <f>IF('Inputs &amp; Outputs'!$C$8='CRASH RATES'!$D$3, VLOOKUP('Inputs &amp; Outputs'!$C$7,'CRASH RATES'!$C$14:$J$21,8,FALSE), VLOOKUP('Inputs &amp; Outputs'!$C$7,'CRASH RATES'!$C$28:$J$35,8,FALSE))</f>
        <v>83.618632907852302</v>
      </c>
      <c r="F14" s="85"/>
      <c r="L14" s="106"/>
      <c r="M14" s="107">
        <f>M13+1</f>
        <v>2028</v>
      </c>
      <c r="N14" s="112">
        <f t="shared" si="6"/>
        <v>30801.924399553249</v>
      </c>
      <c r="O14" s="113">
        <f t="shared" si="7"/>
        <v>3.0982493708844316E-2</v>
      </c>
      <c r="P14" s="114">
        <f>P13*(1+IFERROR(_2025_2040_V_C_Growth,_2018_2045_V_C_Growth))</f>
        <v>0.68082939443942947</v>
      </c>
      <c r="Q14" s="115">
        <f t="shared" si="4"/>
        <v>1</v>
      </c>
      <c r="R14" s="30">
        <f>IF(M14=Year_Open_to_Traffic?,Calculations!$J$5,Calculations!R13+(Calculations!R13*Calculations!O14*Q14))</f>
        <v>2638294.641630339</v>
      </c>
      <c r="S14" s="45">
        <f t="shared" si="0"/>
        <v>1</v>
      </c>
      <c r="T14" s="30">
        <f t="shared" si="5"/>
        <v>2638.2946416303389</v>
      </c>
      <c r="U14" s="31">
        <f>T14/(1+Real_Discount_Rate)^(Calculations!M14-'Assumed Values'!$C$5)</f>
        <v>1341.1752135156019</v>
      </c>
    </row>
    <row r="15" spans="1:21" ht="15.75">
      <c r="A15" s="39" t="s">
        <v>115</v>
      </c>
      <c r="B15" s="118">
        <f>(B13/B12)^(1/(2025-2018))-1</f>
        <v>1.3151145017352928E-2</v>
      </c>
      <c r="L15" s="106"/>
      <c r="M15" s="11">
        <f>M14+1</f>
        <v>2029</v>
      </c>
      <c r="N15" s="112">
        <f t="shared" si="6"/>
        <v>31756.244828482704</v>
      </c>
      <c r="O15" s="113">
        <f t="shared" si="7"/>
        <v>3.0982493708844316E-2</v>
      </c>
      <c r="P15" s="114">
        <f>P14*(1+IFERROR(_2025_2040_V_C_Growth,_2018_2045_V_C_Growth))</f>
        <v>0.68877429512553234</v>
      </c>
      <c r="Q15" s="115">
        <f t="shared" si="4"/>
        <v>1</v>
      </c>
      <c r="R15" s="30">
        <f>IF(M15=Year_Open_to_Traffic?,Calculations!$J$5,Calculations!R14+(Calculations!R14*Calculations!O15*Q15))</f>
        <v>2720035.5887667285</v>
      </c>
      <c r="S15" s="45">
        <f t="shared" si="0"/>
        <v>1</v>
      </c>
      <c r="T15" s="30">
        <f t="shared" si="5"/>
        <v>2720.0355887667283</v>
      </c>
      <c r="U15" s="31">
        <f>T15/(1+Real_Discount_Rate)^(Calculations!M15-'Assumed Values'!$C$5)</f>
        <v>1292.2693141409407</v>
      </c>
    </row>
    <row r="16" spans="1:21" ht="15.75">
      <c r="A16" s="39" t="s">
        <v>116</v>
      </c>
      <c r="B16" s="118">
        <f>(B14/B13)^(1/(2045-2025))-1</f>
        <v>1.1669444285149266E-2</v>
      </c>
      <c r="D16" s="121" t="s">
        <v>117</v>
      </c>
      <c r="E16" s="57"/>
      <c r="L16" s="106"/>
      <c r="M16" s="107">
        <f t="shared" si="1"/>
        <v>2030</v>
      </c>
      <c r="N16" s="112">
        <f t="shared" si="6"/>
        <v>32740.132484097689</v>
      </c>
      <c r="O16" s="113">
        <f t="shared" si="7"/>
        <v>3.0982493708844316E-2</v>
      </c>
      <c r="P16" s="114">
        <f t="shared" si="8"/>
        <v>0.6968119083875427</v>
      </c>
      <c r="Q16" s="115">
        <f t="shared" si="4"/>
        <v>1</v>
      </c>
      <c r="R16" s="30">
        <f>IF(M16=Year_Open_to_Traffic?,Calculations!$J$5,Calculations!R15+(Calculations!R15*Calculations!O16*Q16))</f>
        <v>2804309.0742835263</v>
      </c>
      <c r="S16" s="45">
        <f t="shared" si="0"/>
        <v>1</v>
      </c>
      <c r="T16" s="30">
        <f t="shared" si="5"/>
        <v>2804.3090742835261</v>
      </c>
      <c r="U16" s="31">
        <f>T16/(1+Real_Discount_Rate)^(Calculations!M16-'Assumed Values'!$C$5)</f>
        <v>1245.146766389201</v>
      </c>
    </row>
    <row r="17" spans="1:21" ht="15.75">
      <c r="A17" s="39" t="s">
        <v>118</v>
      </c>
      <c r="B17" s="118">
        <f>(B14/B12)^(1/(2045-2018))-1</f>
        <v>1.2053380717852225E-2</v>
      </c>
      <c r="D17" s="39" t="s">
        <v>119</v>
      </c>
      <c r="E17" s="122">
        <f>($E$6*Death_Rate)/100000000</f>
        <v>0.5418563108425003</v>
      </c>
      <c r="L17" s="106"/>
      <c r="M17" s="11">
        <f t="shared" si="1"/>
        <v>2031</v>
      </c>
      <c r="N17" s="112">
        <f t="shared" si="6"/>
        <v>33754.503432812977</v>
      </c>
      <c r="O17" s="113">
        <f t="shared" si="7"/>
        <v>3.0982493708844316E-2</v>
      </c>
      <c r="P17" s="114">
        <f t="shared" si="8"/>
        <v>0.70494331612969963</v>
      </c>
      <c r="Q17" s="115">
        <f t="shared" si="4"/>
        <v>1</v>
      </c>
      <c r="R17" s="30">
        <f>IF(M17=Year_Open_to_Traffic?,Calculations!$J$5,Calculations!R16+(Calculations!R16*Calculations!O17*Q17))</f>
        <v>2891193.5625351705</v>
      </c>
      <c r="S17" s="45">
        <f t="shared" si="0"/>
        <v>1</v>
      </c>
      <c r="T17" s="30">
        <f t="shared" si="5"/>
        <v>2891.1935625351703</v>
      </c>
      <c r="U17" s="31">
        <f>T17/(1+Real_Discount_Rate)^(Calculations!M17-'Assumed Values'!$C$5)</f>
        <v>1199.7425404163012</v>
      </c>
    </row>
    <row r="18" spans="1:21" ht="15.75">
      <c r="D18" s="39" t="s">
        <v>120</v>
      </c>
      <c r="E18" s="122">
        <f>($E$6*Incap_Injry_Rate)/100000000</f>
        <v>2.7389962551296718</v>
      </c>
      <c r="L18" s="106"/>
      <c r="M18" s="107">
        <f t="shared" si="1"/>
        <v>2032</v>
      </c>
      <c r="N18" s="112">
        <f t="shared" si="6"/>
        <v>34800.302123065267</v>
      </c>
      <c r="O18" s="113">
        <f t="shared" si="7"/>
        <v>3.0982493708844316E-2</v>
      </c>
      <c r="P18" s="114">
        <f t="shared" si="8"/>
        <v>0.71316961288146352</v>
      </c>
      <c r="Q18" s="115">
        <f t="shared" si="4"/>
        <v>1</v>
      </c>
      <c r="R18" s="30">
        <f>IF(M18=Year_Open_to_Traffic?,Calculations!$J$5,Calculations!R17+(Calculations!R17*Calculations!O18*Q18))</f>
        <v>2980769.9488974675</v>
      </c>
      <c r="S18" s="45">
        <f t="shared" si="0"/>
        <v>1</v>
      </c>
      <c r="T18" s="30">
        <f t="shared" si="5"/>
        <v>2980.7699488974677</v>
      </c>
      <c r="U18" s="31">
        <f>T18/(1+Real_Discount_Rate)^(Calculations!M18-'Assumed Values'!$C$5)</f>
        <v>1155.9939776887684</v>
      </c>
    </row>
    <row r="19" spans="1:21" ht="15.75">
      <c r="D19" s="39" t="s">
        <v>121</v>
      </c>
      <c r="E19" s="122">
        <f>($E$6*Nonincap_Injry_Rate)/100000000</f>
        <v>15.453392400511436</v>
      </c>
      <c r="L19" s="106"/>
      <c r="M19" s="11">
        <f t="shared" si="1"/>
        <v>2033</v>
      </c>
      <c r="N19" s="112">
        <f t="shared" si="6"/>
        <v>35878.502264659015</v>
      </c>
      <c r="O19" s="113">
        <f t="shared" si="7"/>
        <v>3.0982493708844316E-2</v>
      </c>
      <c r="P19" s="114">
        <f t="shared" si="8"/>
        <v>0.72149190594484525</v>
      </c>
      <c r="Q19" s="115">
        <f t="shared" si="4"/>
        <v>1</v>
      </c>
      <c r="R19" s="30">
        <f>IF(M19=Year_Open_to_Traffic?,Calculations!$J$5,Calculations!R18+(Calculations!R18*Calculations!O19*Q19))</f>
        <v>3073121.6350866957</v>
      </c>
      <c r="S19" s="45">
        <f t="shared" si="0"/>
        <v>1</v>
      </c>
      <c r="T19" s="30">
        <f t="shared" si="5"/>
        <v>3073.1216350866957</v>
      </c>
      <c r="U19" s="31">
        <f>T19/(1+Real_Discount_Rate)^(Calculations!M19-'Assumed Values'!$C$5)</f>
        <v>1113.8407045139929</v>
      </c>
    </row>
    <row r="20" spans="1:21" ht="15.75">
      <c r="D20" s="39" t="s">
        <v>122</v>
      </c>
      <c r="E20" s="122">
        <f>($E$6*Poss_Injry_Rate/100000000)</f>
        <v>38.578421408402669</v>
      </c>
      <c r="L20" s="106"/>
      <c r="M20" s="107">
        <f t="shared" si="1"/>
        <v>2034</v>
      </c>
      <c r="N20" s="112">
        <f t="shared" si="6"/>
        <v>36990.107735356571</v>
      </c>
      <c r="O20" s="113">
        <f t="shared" si="7"/>
        <v>3.0982493708844316E-2</v>
      </c>
      <c r="P20" s="114">
        <f t="shared" si="8"/>
        <v>0.72991131554345479</v>
      </c>
      <c r="Q20" s="115">
        <f t="shared" si="4"/>
        <v>1</v>
      </c>
      <c r="R20" s="30">
        <f>IF(M20=Year_Open_to_Traffic?,Calculations!$J$5,Calculations!R19+(Calculations!R19*Calculations!O20*Q20))</f>
        <v>3168334.6068122825</v>
      </c>
      <c r="S20" s="45">
        <f t="shared" si="0"/>
        <v>1</v>
      </c>
      <c r="T20" s="30">
        <f t="shared" si="5"/>
        <v>3168.3346068122823</v>
      </c>
      <c r="U20" s="31">
        <f>T20/(1+Real_Discount_Rate)^(Calculations!M20-'Assumed Values'!$C$5)</f>
        <v>1073.2245487236005</v>
      </c>
    </row>
    <row r="21" spans="1:21" ht="15.75">
      <c r="D21" s="39" t="s">
        <v>123</v>
      </c>
      <c r="E21" s="122">
        <f>($E$6*Non_Injry_Rate)/100000000</f>
        <v>299.13614620956076</v>
      </c>
      <c r="L21" s="106"/>
      <c r="M21" s="11">
        <f>M20+1</f>
        <v>2035</v>
      </c>
      <c r="N21" s="112">
        <f t="shared" si="6"/>
        <v>38136.153515556725</v>
      </c>
      <c r="O21" s="113">
        <f t="shared" si="7"/>
        <v>3.0982493708844316E-2</v>
      </c>
      <c r="P21" s="114">
        <f>P20*(1+IFERROR(_2025_2040_V_C_Growth,_2018_2045_V_C_Growth))</f>
        <v>0.73842897497328919</v>
      </c>
      <c r="Q21" s="115">
        <f t="shared" si="4"/>
        <v>1</v>
      </c>
      <c r="R21" s="30">
        <f>IF(M21=Year_Open_to_Traffic?,Calculations!$J$5,Calculations!R20+(Calculations!R20*Calculations!O21*Q21))</f>
        <v>3266497.5138353575</v>
      </c>
      <c r="S21" s="45">
        <f t="shared" si="0"/>
        <v>1</v>
      </c>
      <c r="T21" s="30">
        <f t="shared" si="5"/>
        <v>3266.4975138353575</v>
      </c>
      <c r="U21" s="31">
        <f>T21/(1+Real_Discount_Rate)^(Calculations!M21-'Assumed Values'!$C$5)</f>
        <v>1034.0894593949595</v>
      </c>
    </row>
    <row r="22" spans="1:21" ht="15.75">
      <c r="D22" s="39" t="s">
        <v>124</v>
      </c>
      <c r="E22" s="122">
        <f>($E$6*Unkn_Injry_Rate)/100000000</f>
        <v>25.956665212939129</v>
      </c>
      <c r="L22" s="106"/>
      <c r="M22" s="107">
        <f>M21+1</f>
        <v>2036</v>
      </c>
      <c r="N22" s="112">
        <f t="shared" si="6"/>
        <v>39317.706651931985</v>
      </c>
      <c r="O22" s="113">
        <f t="shared" si="7"/>
        <v>3.0982493708844316E-2</v>
      </c>
      <c r="P22" s="114">
        <f t="shared" si="8"/>
        <v>0.74704603075527987</v>
      </c>
      <c r="Q22" s="115">
        <f t="shared" si="4"/>
        <v>1</v>
      </c>
      <c r="R22" s="30">
        <f>IF(M22=Year_Open_to_Traffic?,Calculations!$J$5,Calculations!R21+(Calculations!R21*Calculations!O22*Q22))</f>
        <v>3367701.7525077169</v>
      </c>
      <c r="S22" s="45">
        <f t="shared" si="0"/>
        <v>1</v>
      </c>
      <c r="T22" s="30">
        <f t="shared" si="5"/>
        <v>3367.7017525077167</v>
      </c>
      <c r="U22" s="31">
        <f>T22/(1+Real_Discount_Rate)^(Calculations!M22-'Assumed Values'!$C$5)</f>
        <v>996.38142950004294</v>
      </c>
    </row>
    <row r="23" spans="1:21" ht="15.75">
      <c r="L23" s="106"/>
      <c r="M23" s="11">
        <f t="shared" si="1"/>
        <v>2037</v>
      </c>
      <c r="N23" s="112">
        <f t="shared" si="6"/>
        <v>40535.867250921656</v>
      </c>
      <c r="O23" s="113">
        <f t="shared" si="7"/>
        <v>3.0982493708844316E-2</v>
      </c>
      <c r="P23" s="114">
        <f t="shared" si="8"/>
        <v>0.75576364278962049</v>
      </c>
      <c r="Q23" s="115">
        <f t="shared" si="4"/>
        <v>1</v>
      </c>
      <c r="R23" s="30">
        <f>IF(M23=Year_Open_to_Traffic?,Calculations!$J$5,Calculations!R22+(Calculations!R22*Calculations!O23*Q23))</f>
        <v>3472041.5508680511</v>
      </c>
      <c r="S23" s="45">
        <f t="shared" si="0"/>
        <v>1</v>
      </c>
      <c r="T23" s="30">
        <f t="shared" si="5"/>
        <v>3472.0415508680512</v>
      </c>
      <c r="U23" s="31">
        <f>T23/(1+Real_Discount_Rate)^(Calculations!M23-'Assumed Values'!$C$5)</f>
        <v>960.0484213748947</v>
      </c>
    </row>
    <row r="24" spans="1:21" ht="15.75">
      <c r="L24" s="106"/>
      <c r="M24" s="107">
        <f t="shared" si="1"/>
        <v>2038</v>
      </c>
      <c r="N24" s="112">
        <f t="shared" si="6"/>
        <v>41791.769503005882</v>
      </c>
      <c r="O24" s="113">
        <f t="shared" si="7"/>
        <v>3.0982493708844316E-2</v>
      </c>
      <c r="P24" s="114">
        <f t="shared" si="8"/>
        <v>0.76458298451189544</v>
      </c>
      <c r="Q24" s="115">
        <f t="shared" si="4"/>
        <v>1</v>
      </c>
      <c r="R24" s="30">
        <f>IF(M24=Year_Open_to_Traffic?,Calculations!$J$5,Calculations!R23+(Calculations!R23*Calculations!O24*Q24))</f>
        <v>3579614.0563746667</v>
      </c>
      <c r="S24" s="45">
        <f t="shared" si="0"/>
        <v>1</v>
      </c>
      <c r="T24" s="30">
        <f t="shared" si="5"/>
        <v>3579.6140563746667</v>
      </c>
      <c r="U24" s="31">
        <f>T24/(1+Real_Discount_Rate)^(Calculations!M24-'Assumed Values'!$C$5)</f>
        <v>925.04029490684889</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43086.582738714234</v>
      </c>
      <c r="O25" s="113">
        <f t="shared" si="7"/>
        <v>3.0982493708844316E-2</v>
      </c>
      <c r="P25" s="114">
        <f t="shared" si="8"/>
        <v>0.77350524305103019</v>
      </c>
      <c r="Q25" s="115">
        <f t="shared" si="4"/>
        <v>1</v>
      </c>
      <c r="R25" s="30">
        <f>IF(M25=Year_Open_to_Traffic?,Calculations!$J$5,Calculations!R24+(Calculations!R24*Calculations!O25*Q25))</f>
        <v>3690519.4263563855</v>
      </c>
      <c r="S25" s="45">
        <f t="shared" si="0"/>
        <v>1</v>
      </c>
      <c r="T25" s="30">
        <f t="shared" si="5"/>
        <v>3690.5194263563853</v>
      </c>
      <c r="U25" s="31">
        <f>T25/(1+Real_Discount_Rate)^(Calculations!M25-'Assumed Values'!$C$5)</f>
        <v>891.30873834039983</v>
      </c>
    </row>
    <row r="26" spans="1:21" ht="15.75">
      <c r="A26" s="134"/>
      <c r="B26" s="134"/>
      <c r="D26" s="123">
        <f>Calculations!E17</f>
        <v>0.5418563108425003</v>
      </c>
      <c r="E26" s="123">
        <f>Calculations!E18</f>
        <v>2.7389962551296718</v>
      </c>
      <c r="F26" s="123">
        <f>Calculations!E19</f>
        <v>15.453392400511436</v>
      </c>
      <c r="G26" s="123">
        <f>Calculations!E20</f>
        <v>38.578421408402669</v>
      </c>
      <c r="H26" s="123">
        <f>Calculations!E21</f>
        <v>299.13614620956076</v>
      </c>
      <c r="I26" s="123">
        <f>Calculations!E22</f>
        <v>25.956665212939129</v>
      </c>
      <c r="J26" s="135"/>
      <c r="L26" s="106"/>
      <c r="M26" s="107">
        <f t="shared" si="1"/>
        <v>2040</v>
      </c>
      <c r="N26" s="112">
        <f t="shared" si="6"/>
        <v>44421.51251735205</v>
      </c>
      <c r="O26" s="113">
        <f t="shared" si="7"/>
        <v>3.0982493708844316E-2</v>
      </c>
      <c r="P26" s="114">
        <f t="shared" si="8"/>
        <v>0.782531619389085</v>
      </c>
      <c r="Q26" s="115">
        <f t="shared" si="4"/>
        <v>1</v>
      </c>
      <c r="R26" s="30">
        <f>IF(M26=Year_Open_to_Traffic?,Calculations!$J$5,Calculations!R25+(Calculations!R25*Calculations!O26*Q26))</f>
        <v>3804860.9212658401</v>
      </c>
      <c r="S26" s="45">
        <f t="shared" si="0"/>
        <v>1</v>
      </c>
      <c r="T26" s="30">
        <f t="shared" si="5"/>
        <v>3804.8609212658403</v>
      </c>
      <c r="U26" s="31">
        <f>T26/(1+Real_Discount_Rate)^(Calculations!M26-'Assumed Values'!$C$5)</f>
        <v>858.80720160623298</v>
      </c>
    </row>
    <row r="27" spans="1:21" ht="15.75">
      <c r="A27" s="38" t="s">
        <v>127</v>
      </c>
      <c r="B27" s="39" t="s">
        <v>128</v>
      </c>
      <c r="D27" s="124">
        <f>D$26*'Value of Statistical Life'!D17*Appropriate_Crash_Reduction_Factor</f>
        <v>0</v>
      </c>
      <c r="E27" s="124">
        <f>E$26*'Value of Statistical Life'!E17*Appropriate_Crash_Reduction_Factor</f>
        <v>1.4120895193321022E-2</v>
      </c>
      <c r="F27" s="124">
        <f>F$26*'Value of Statistical Life'!F17*Appropriate_Crash_Reduction_Factor</f>
        <v>0.19348419955060345</v>
      </c>
      <c r="G27" s="124">
        <f>G$26*'Value of Statistical Life'!G17*Appropriate_Crash_Reduction_Factor</f>
        <v>1.3562436938230999</v>
      </c>
      <c r="H27" s="124">
        <f>H$26*'Value of Statistical Life'!H17*Appropriate_Crash_Reduction_Factor</f>
        <v>41.520396230033242</v>
      </c>
      <c r="I27" s="124">
        <f>I$26*'Value of Statistical Life'!I17*Appropriate_Crash_Reduction_Factor</f>
        <v>1.7005249647604939</v>
      </c>
      <c r="J27" s="124">
        <f t="shared" ref="J27:J33" si="9">SUM(D27:I27)</f>
        <v>44.784769983360761</v>
      </c>
      <c r="K27" s="69"/>
      <c r="L27" s="106"/>
      <c r="M27" s="11">
        <f t="shared" si="1"/>
        <v>2041</v>
      </c>
      <c r="N27" s="112">
        <f t="shared" si="6"/>
        <v>45797.80174945826</v>
      </c>
      <c r="O27" s="113">
        <f t="shared" si="7"/>
        <v>3.0982493708844316E-2</v>
      </c>
      <c r="P27" s="114">
        <f t="shared" si="8"/>
        <v>0.79166332852291355</v>
      </c>
      <c r="Q27" s="115">
        <f t="shared" si="4"/>
        <v>1</v>
      </c>
      <c r="R27" s="30">
        <f>IF(M27=Year_Open_to_Traffic?,Calculations!$J$5,Calculations!R26+(Calculations!R26*Calculations!O27*Q27))</f>
        <v>3922745.0008219867</v>
      </c>
      <c r="S27" s="45">
        <f t="shared" si="0"/>
        <v>1</v>
      </c>
      <c r="T27" s="30">
        <f t="shared" si="5"/>
        <v>3922.7450008219867</v>
      </c>
      <c r="U27" s="31">
        <f>T27/(1+Real_Discount_Rate)^(Calculations!M27-'Assumed Values'!$C$5)</f>
        <v>827.49083208140962</v>
      </c>
    </row>
    <row r="28" spans="1:21" ht="15.75">
      <c r="A28" s="38" t="s">
        <v>129</v>
      </c>
      <c r="B28" s="39" t="s">
        <v>130</v>
      </c>
      <c r="D28" s="124">
        <f>D$26*'Value of Statistical Life'!D18*Appropriate_Crash_Reduction_Factor</f>
        <v>0</v>
      </c>
      <c r="E28" s="124">
        <f>E$26*'Value of Statistical Life'!E18*Appropriate_Crash_Reduction_Factor</f>
        <v>0.22781190502602777</v>
      </c>
      <c r="F28" s="124">
        <f>F$26*'Value of Statistical Life'!F18*Appropriate_Crash_Reduction_Factor</f>
        <v>1.7812275483487503</v>
      </c>
      <c r="G28" s="124">
        <f>G$26*'Value of Statistical Life'!G18*Appropriate_Crash_Reduction_Factor</f>
        <v>3.9897417636355952</v>
      </c>
      <c r="H28" s="124">
        <f>H$26*'Value of Statistical Life'!H18*Appropriate_Crash_Reduction_Factor</f>
        <v>3.2562465195641734</v>
      </c>
      <c r="I28" s="124">
        <f>I$26*'Value of Statistical Life'!I18*Appropriate_Crash_Reduction_Factor</f>
        <v>1.6251078739842995</v>
      </c>
      <c r="J28" s="124">
        <f t="shared" si="9"/>
        <v>10.880135610558847</v>
      </c>
      <c r="K28" s="69"/>
      <c r="L28" s="106"/>
      <c r="M28" s="107">
        <f t="shared" si="1"/>
        <v>2042</v>
      </c>
      <c r="N28" s="112">
        <f t="shared" si="6"/>
        <v>47216.731854039746</v>
      </c>
      <c r="O28" s="113">
        <f t="shared" si="7"/>
        <v>3.0982493708844316E-2</v>
      </c>
      <c r="P28" s="114">
        <f t="shared" si="8"/>
        <v>0.80090159962770746</v>
      </c>
      <c r="Q28" s="115">
        <f t="shared" si="4"/>
        <v>1</v>
      </c>
      <c r="R28" s="30">
        <f>IF(M28=Year_Open_to_Traffic?,Calculations!$J$5,Calculations!R27+(Calculations!R27*Calculations!O28*Q28))</f>
        <v>4044281.4231313546</v>
      </c>
      <c r="S28" s="45">
        <f t="shared" si="0"/>
        <v>1</v>
      </c>
      <c r="T28" s="30">
        <f t="shared" si="5"/>
        <v>4044.2814231313546</v>
      </c>
      <c r="U28" s="31">
        <f>T28/(1+Real_Discount_Rate)^(Calculations!M28-'Assumed Values'!$C$5)</f>
        <v>797.31641269205443</v>
      </c>
    </row>
    <row r="29" spans="1:21" ht="15.75">
      <c r="A29" s="38" t="s">
        <v>131</v>
      </c>
      <c r="B29" s="39" t="s">
        <v>132</v>
      </c>
      <c r="D29" s="124">
        <f>D$26*'Value of Statistical Life'!D19*Appropriate_Crash_Reduction_Factor</f>
        <v>0</v>
      </c>
      <c r="E29" s="124">
        <f>E$26*'Value of Statistical Life'!E19*Appropriate_Crash_Reduction_Factor</f>
        <v>8.5900400553376763E-2</v>
      </c>
      <c r="F29" s="124">
        <f>F$26*'Value of Statistical Life'!F19*Appropriate_Crash_Reduction_Factor</f>
        <v>0.25261660557116045</v>
      </c>
      <c r="G29" s="124">
        <f>G$26*'Value of Statistical Life'!G19*Appropriate_Crash_Reduction_Factor</f>
        <v>0.36983203683165217</v>
      </c>
      <c r="H29" s="124">
        <f>H$26*'Value of Statistical Life'!H19*Appropriate_Crash_Reduction_Factor</f>
        <v>8.8843435424239545E-2</v>
      </c>
      <c r="I29" s="124">
        <f>I$26*'Value of Statistical Life'!I19*Appropriate_Crash_Reduction_Factor</f>
        <v>0.3454313006537939</v>
      </c>
      <c r="J29" s="124">
        <f t="shared" si="9"/>
        <v>1.1426237790342229</v>
      </c>
      <c r="K29" s="69"/>
      <c r="L29" s="106"/>
      <c r="M29" s="11">
        <f t="shared" si="1"/>
        <v>2043</v>
      </c>
      <c r="N29" s="112">
        <f t="shared" si="6"/>
        <v>48679.62395165972</v>
      </c>
      <c r="O29" s="113">
        <f t="shared" si="7"/>
        <v>3.0982493708844316E-2</v>
      </c>
      <c r="P29" s="114">
        <f t="shared" si="8"/>
        <v>0.81024767622244986</v>
      </c>
      <c r="Q29" s="115">
        <f t="shared" si="4"/>
        <v>1</v>
      </c>
      <c r="R29" s="30">
        <f>IF(M29=Year_Open_to_Traffic?,Calculations!$J$5,Calculations!R28+(Calculations!R28*Calculations!O29*Q29))</f>
        <v>4169583.3468803177</v>
      </c>
      <c r="S29" s="45">
        <f t="shared" si="0"/>
        <v>1</v>
      </c>
      <c r="T29" s="30">
        <f t="shared" si="5"/>
        <v>4169.5833468803175</v>
      </c>
      <c r="U29" s="31">
        <f>T29/(1+Real_Discount_Rate)^(Calculations!M29-'Assumed Values'!$C$5)</f>
        <v>768.24230227312546</v>
      </c>
    </row>
    <row r="30" spans="1:21" ht="15.75">
      <c r="A30" s="38" t="s">
        <v>133</v>
      </c>
      <c r="B30" s="39" t="s">
        <v>134</v>
      </c>
      <c r="D30" s="124">
        <f>D$26*'Value of Statistical Life'!D20*Appropriate_Crash_Reduction_Factor</f>
        <v>0</v>
      </c>
      <c r="E30" s="124">
        <f>E$26*'Value of Statistical Life'!E20*Appropriate_Crash_Reduction_Factor</f>
        <v>5.9314333402960599E-2</v>
      </c>
      <c r="F30" s="124">
        <f>F$26*'Value of Statistical Life'!F20*Appropriate_Crash_Reduction_Factor</f>
        <v>7.3967662725047983E-2</v>
      </c>
      <c r="G30" s="124">
        <f>G$26*'Value of Statistical Life'!G20*Appropriate_Crash_Reduction_Factor</f>
        <v>6.1976233992598884E-2</v>
      </c>
      <c r="H30" s="124">
        <f>H$26*'Value of Statistical Life'!H20*Appropriate_Crash_Reduction_Factor</f>
        <v>3.5896337545147294E-3</v>
      </c>
      <c r="I30" s="124">
        <f>I$26*'Value of Statistical Life'!I20*Appropriate_Crash_Reduction_Factor</f>
        <v>0.18754988449609164</v>
      </c>
      <c r="J30" s="124">
        <f t="shared" si="9"/>
        <v>0.38639774837121388</v>
      </c>
      <c r="K30" s="69"/>
      <c r="L30" s="106"/>
      <c r="M30" s="11">
        <f t="shared" si="1"/>
        <v>2044</v>
      </c>
      <c r="N30" s="112">
        <f t="shared" si="6"/>
        <v>50187.840094490923</v>
      </c>
      <c r="O30" s="113">
        <f t="shared" si="7"/>
        <v>3.0982493708844316E-2</v>
      </c>
      <c r="P30" s="114">
        <f t="shared" si="8"/>
        <v>0.81970281633729936</v>
      </c>
      <c r="Q30" s="115">
        <f t="shared" si="4"/>
        <v>1</v>
      </c>
      <c r="R30" s="30">
        <f>IF(M30=Year_Open_to_Traffic?,Calculations!$J$5,Calculations!R29+(Calculations!R29*Calculations!O30*Q30))</f>
        <v>4298767.4366935389</v>
      </c>
      <c r="S30" s="45">
        <f t="shared" si="0"/>
        <v>1</v>
      </c>
      <c r="T30" s="30">
        <f t="shared" si="5"/>
        <v>4298.7674366935389</v>
      </c>
      <c r="U30" s="31">
        <f>T30/(1+Real_Discount_Rate)^(Calculations!M30-'Assumed Values'!$C$5)</f>
        <v>740.22837810296323</v>
      </c>
    </row>
    <row r="31" spans="1:21" ht="15.75">
      <c r="A31" s="38" t="s">
        <v>135</v>
      </c>
      <c r="B31" s="39" t="s">
        <v>136</v>
      </c>
      <c r="D31" s="124">
        <f>D$26*'Value of Statistical Life'!D21*Appropriate_Crash_Reduction_Factor</f>
        <v>0</v>
      </c>
      <c r="E31" s="124">
        <f>E$26*'Value of Statistical Life'!E21*Appropriate_Crash_Reduction_Factor</f>
        <v>1.6376458609420306E-2</v>
      </c>
      <c r="F31" s="124">
        <f>F$26*'Value of Statistical Life'!F21*Appropriate_Crash_Reduction_Factor</f>
        <v>1.4371654932475634E-2</v>
      </c>
      <c r="G31" s="124">
        <f>G$26*'Value of Statistical Life'!G21*Appropriate_Crash_Reduction_Factor</f>
        <v>8.2172037599897683E-3</v>
      </c>
      <c r="H31" s="124">
        <f>H$26*'Value of Statistical Life'!H21*Appropriate_Crash_Reduction_Factor</f>
        <v>0</v>
      </c>
      <c r="I31" s="124">
        <f>I$26*'Value of Statistical Life'!I21*Appropriate_Crash_Reduction_Factor</f>
        <v>2.4022893654575165E-2</v>
      </c>
      <c r="J31" s="124">
        <f t="shared" si="9"/>
        <v>6.2988210956460872E-2</v>
      </c>
      <c r="K31" s="69"/>
      <c r="L31" s="106"/>
      <c r="M31" s="11">
        <f t="shared" si="1"/>
        <v>2045</v>
      </c>
      <c r="N31" s="112">
        <f t="shared" si="6"/>
        <v>51742.784534478975</v>
      </c>
      <c r="O31" s="113">
        <f t="shared" si="7"/>
        <v>3.0982493708844316E-2</v>
      </c>
      <c r="P31" s="114">
        <f t="shared" si="8"/>
        <v>0.82926829268292745</v>
      </c>
      <c r="Q31" s="115">
        <f t="shared" si="4"/>
        <v>1</v>
      </c>
      <c r="R31" s="30">
        <f>IF(M31=Year_Open_to_Traffic?,Calculations!$J$5,Calculations!R30+(Calculations!R30*Calculations!O31*Q31))</f>
        <v>4431953.9717566809</v>
      </c>
      <c r="S31" s="45">
        <f t="shared" si="0"/>
        <v>1</v>
      </c>
      <c r="T31" s="30">
        <f t="shared" si="5"/>
        <v>4431.9539717566813</v>
      </c>
      <c r="U31" s="31">
        <f>T31/(1+Real_Discount_Rate)^(Calculations!M31-'Assumed Values'!$C$5)</f>
        <v>713.2359805333142</v>
      </c>
    </row>
    <row r="32" spans="1:21" ht="15.75">
      <c r="A32" s="38" t="s">
        <v>137</v>
      </c>
      <c r="B32" s="39" t="s">
        <v>138</v>
      </c>
      <c r="D32" s="124">
        <f>D$26*'Value of Statistical Life'!D22*Appropriate_Crash_Reduction_Factor</f>
        <v>0</v>
      </c>
      <c r="E32" s="124">
        <f>E$26*'Value of Statistical Life'!E22*Appropriate_Crash_Reduction_Factor</f>
        <v>7.3254454843443059E-3</v>
      </c>
      <c r="F32" s="124">
        <f>F$26*'Value of Statistical Life'!F22*Appropriate_Crash_Reduction_Factor</f>
        <v>2.3411889486774826E-3</v>
      </c>
      <c r="G32" s="124">
        <f>G$26*'Value of Statistical Life'!G22*Appropriate_Crash_Reduction_Factor</f>
        <v>7.5227921746385195E-4</v>
      </c>
      <c r="H32" s="124">
        <f>H$26*'Value of Statistical Life'!H22*Appropriate_Crash_Reduction_Factor</f>
        <v>1.3461126579430236E-3</v>
      </c>
      <c r="I32" s="124">
        <f>I$26*'Value of Statistical Life'!I22*Appropriate_Crash_Reduction_Factor</f>
        <v>1.0862864391615023E-2</v>
      </c>
      <c r="J32" s="124">
        <f t="shared" si="9"/>
        <v>2.2627890700043687E-2</v>
      </c>
      <c r="K32" s="69"/>
      <c r="L32" s="106"/>
      <c r="M32" s="11">
        <f t="shared" si="1"/>
        <v>2046</v>
      </c>
      <c r="N32" s="112">
        <f t="shared" si="6"/>
        <v>53345.905030796559</v>
      </c>
      <c r="O32" s="113">
        <f t="shared" si="7"/>
        <v>3.0982493708844316E-2</v>
      </c>
      <c r="P32" s="114">
        <f t="shared" si="8"/>
        <v>0.83894539282183178</v>
      </c>
      <c r="Q32" s="115">
        <f t="shared" si="4"/>
        <v>1</v>
      </c>
      <c r="R32" s="30">
        <f>IF(M32=Year_Open_to_Traffic?,Calculations!$J$5,Calculations!R31+(Calculations!R31*Calculations!O32*Q32))</f>
        <v>4569266.9578045197</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8.1278446626375039E-2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8.1278446626375039E-2</v>
      </c>
      <c r="K33" s="69"/>
      <c r="L33" s="106"/>
      <c r="M33" s="11">
        <f t="shared" si="1"/>
        <v>2047</v>
      </c>
      <c r="N33" s="112">
        <f t="shared" si="6"/>
        <v>54998.694197805817</v>
      </c>
      <c r="O33" s="113">
        <f t="shared" si="7"/>
        <v>3.0982493708844316E-2</v>
      </c>
      <c r="P33" s="114">
        <f t="shared" si="8"/>
        <v>0.84873541934164887</v>
      </c>
      <c r="Q33" s="115">
        <f t="shared" si="4"/>
        <v>1</v>
      </c>
      <c r="R33" s="30">
        <f>IF(M33=Year_Open_to_Traffic?,Calculations!$J$5,Calculations!R32+(Calculations!R32*Calculations!O33*Q33))</f>
        <v>4710834.2425787281</v>
      </c>
      <c r="S33" s="45">
        <f t="shared" si="0"/>
        <v>0</v>
      </c>
      <c r="T33" s="30">
        <f t="shared" si="5"/>
        <v>0</v>
      </c>
      <c r="U33" s="31">
        <f>T33/(1+Real_Discount_Rate)^(Calculations!M33-'Assumed Values'!$C$5)</f>
        <v>0</v>
      </c>
    </row>
    <row r="34" spans="1:21" ht="15.75">
      <c r="J34" s="125"/>
      <c r="L34" s="106"/>
      <c r="M34" s="11">
        <f t="shared" si="1"/>
        <v>2048</v>
      </c>
      <c r="N34" s="112">
        <f t="shared" si="6"/>
        <v>56702.690894783991</v>
      </c>
      <c r="O34" s="113">
        <f t="shared" si="7"/>
        <v>3.0982493708844316E-2</v>
      </c>
      <c r="P34" s="114">
        <f t="shared" si="8"/>
        <v>0.85863969003048901</v>
      </c>
      <c r="Q34" s="115">
        <f t="shared" si="4"/>
        <v>1</v>
      </c>
      <c r="R34" s="30">
        <f>IF(M34=Year_Open_to_Traffic?,Calculations!$J$5,Calculations!R33+(Calculations!R33*Calculations!O34*Q34))</f>
        <v>4856787.6348628318</v>
      </c>
      <c r="S34" s="45">
        <f t="shared" si="0"/>
        <v>0</v>
      </c>
      <c r="T34" s="30">
        <f t="shared" si="5"/>
        <v>0</v>
      </c>
      <c r="U34" s="31">
        <f>T34/(1+Real_Discount_Rate)^(Calculations!M34-'Assumed Values'!$C$5)</f>
        <v>0</v>
      </c>
    </row>
    <row r="35" spans="1:21" ht="15.75">
      <c r="G35" s="41"/>
      <c r="H35" s="41"/>
      <c r="L35" s="106"/>
      <c r="M35" s="11">
        <f t="shared" si="1"/>
        <v>2049</v>
      </c>
      <c r="N35" s="112">
        <f t="shared" si="6"/>
        <v>58459.48165870618</v>
      </c>
      <c r="O35" s="113">
        <f t="shared" si="7"/>
        <v>3.0982493708844316E-2</v>
      </c>
      <c r="P35" s="114">
        <f t="shared" si="8"/>
        <v>0.86865953805431761</v>
      </c>
      <c r="Q35" s="115">
        <f t="shared" si="4"/>
        <v>1</v>
      </c>
      <c r="R35" s="30">
        <f>IF(M35=Year_Open_to_Traffic?,Calculations!$J$5,Calculations!R34+(Calculations!R34*Calculations!O35*Q35))</f>
        <v>5007263.0272051627</v>
      </c>
      <c r="S35" s="45">
        <f t="shared" si="0"/>
        <v>0</v>
      </c>
      <c r="T35" s="30">
        <f t="shared" si="5"/>
        <v>0</v>
      </c>
      <c r="U35" s="31">
        <f>T35/(1+Real_Discount_Rate)^(Calculations!M35-'Assumed Values'!$C$5)</f>
        <v>0</v>
      </c>
    </row>
    <row r="36" spans="1:21" ht="15.75">
      <c r="G36" s="41"/>
      <c r="H36" s="41"/>
      <c r="L36" s="106"/>
      <c r="M36" s="11">
        <f t="shared" si="1"/>
        <v>2050</v>
      </c>
      <c r="N36" s="112">
        <f t="shared" si="6"/>
        <v>60270.702181419343</v>
      </c>
      <c r="O36" s="113">
        <f t="shared" si="7"/>
        <v>3.0982493708844316E-2</v>
      </c>
      <c r="P36" s="114">
        <f t="shared" si="8"/>
        <v>0.87879631213640597</v>
      </c>
      <c r="Q36" s="115">
        <f t="shared" si="4"/>
        <v>1</v>
      </c>
      <c r="R36" s="30">
        <f>IF(M36=Year_Open_to_Traffic?,Calculations!$J$5,Calculations!R35+(Calculations!R35*Calculations!O36*Q36))</f>
        <v>5162400.522444075</v>
      </c>
      <c r="S36" s="45">
        <f t="shared" si="0"/>
        <v>0</v>
      </c>
      <c r="T36" s="30">
        <f t="shared" si="5"/>
        <v>0</v>
      </c>
      <c r="U36" s="31">
        <f>T36/(1+Real_Discount_Rate)^(Calculations!M36-'Assumed Values'!$C$5)</f>
        <v>0</v>
      </c>
    </row>
    <row r="37" spans="1:21">
      <c r="M37" s="39"/>
      <c r="N37" s="39"/>
      <c r="O37" s="118"/>
      <c r="P37" s="120"/>
      <c r="Q37" s="39"/>
      <c r="R37" s="39"/>
      <c r="S37" s="39"/>
      <c r="T37" s="39"/>
      <c r="U37" s="31">
        <f>SUM(U4:U36)</f>
        <v>20770.124056517194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50</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174</v>
      </c>
      <c r="M13" s="39" t="s">
        <v>182</v>
      </c>
      <c r="N13" s="39" t="s">
        <v>183</v>
      </c>
      <c r="O13" s="39" t="s">
        <v>184</v>
      </c>
      <c r="Q13" s="62" t="s">
        <v>49</v>
      </c>
      <c r="R13" s="62" t="s">
        <v>185</v>
      </c>
      <c r="S13" s="62" t="s">
        <v>159</v>
      </c>
      <c r="T13" s="62" t="s">
        <v>163</v>
      </c>
      <c r="U13" s="62" t="s">
        <v>166</v>
      </c>
      <c r="V13" s="62" t="s">
        <v>169</v>
      </c>
      <c r="W13" s="62" t="s">
        <v>172</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50</v>
      </c>
      <c r="D18" s="60"/>
      <c r="E18" s="60">
        <v>0.90708688014883054</v>
      </c>
      <c r="F18" s="60">
        <v>3.6345604444319584</v>
      </c>
      <c r="G18" s="60">
        <v>19.334618979610692</v>
      </c>
      <c r="H18" s="60">
        <v>53.611319786330533</v>
      </c>
      <c r="I18" s="60">
        <v>404.81547842368047</v>
      </c>
      <c r="J18" s="60">
        <v>37.824280317438905</v>
      </c>
      <c r="M18" s="39" t="s">
        <v>50</v>
      </c>
      <c r="N18" s="84">
        <v>61905697.659999996</v>
      </c>
      <c r="O18" s="84">
        <f t="shared" si="0"/>
        <v>16095481391.599998</v>
      </c>
      <c r="Q18" s="63" t="s">
        <v>50</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174</v>
      </c>
      <c r="M27" s="39" t="s">
        <v>190</v>
      </c>
      <c r="N27" s="39" t="s">
        <v>183</v>
      </c>
      <c r="O27" s="39" t="s">
        <v>184</v>
      </c>
      <c r="Q27" s="62" t="s">
        <v>49</v>
      </c>
      <c r="R27" s="62" t="s">
        <v>185</v>
      </c>
      <c r="S27" s="62" t="s">
        <v>159</v>
      </c>
      <c r="T27" s="62" t="s">
        <v>163</v>
      </c>
      <c r="U27" s="62" t="s">
        <v>166</v>
      </c>
      <c r="V27" s="62" t="s">
        <v>169</v>
      </c>
      <c r="W27" s="62" t="s">
        <v>172</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50</v>
      </c>
      <c r="D32" s="60"/>
      <c r="E32" s="60">
        <v>1.7455741549787349</v>
      </c>
      <c r="F32" s="60">
        <v>8.8235958091989612</v>
      </c>
      <c r="G32" s="60">
        <v>49.782648723119337</v>
      </c>
      <c r="H32" s="60">
        <v>124.27924895011503</v>
      </c>
      <c r="I32" s="60">
        <v>963.65828946693784</v>
      </c>
      <c r="J32" s="60">
        <v>83.618632907852302</v>
      </c>
      <c r="M32" s="39" t="s">
        <v>50</v>
      </c>
      <c r="N32" s="84">
        <v>68304614.209999993</v>
      </c>
      <c r="O32" s="84">
        <f t="shared" si="2"/>
        <v>17759199694.599998</v>
      </c>
      <c r="Q32" s="63" t="s">
        <v>50</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70</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3790CE-D19E-4209-869A-83F43092DAFA}"/>
</file>

<file path=customXml/itemProps2.xml><?xml version="1.0" encoding="utf-8"?>
<ds:datastoreItem xmlns:ds="http://schemas.openxmlformats.org/officeDocument/2006/customXml" ds:itemID="{436D0B9C-D820-4655-8AD2-E606CAB3406B}"/>
</file>

<file path=customXml/itemProps3.xml><?xml version="1.0" encoding="utf-8"?>
<ds:datastoreItem xmlns:ds="http://schemas.openxmlformats.org/officeDocument/2006/customXml" ds:itemID="{99E458E6-6D43-4612-9E01-B3E0BADBE840}"/>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2018-10-30T16:33:05Z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