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-my.sharepoint.com/personal/russell_koff_wsp_com/Documents/Grants/Fort Bend/Bus Service app/FINAL/"/>
    </mc:Choice>
  </mc:AlternateContent>
  <bookViews>
    <workbookView xWindow="0" yWindow="0" windowWidth="28800" windowHeight="12795"/>
  </bookViews>
  <sheets>
    <sheet name="Calcs Option 4" sheetId="2" r:id="rId1"/>
    <sheet name="Illustration" sheetId="1" r:id="rId2"/>
  </sheets>
  <definedNames>
    <definedName name="_ftn1" localSheetId="0">'Calcs Option 4'!$A$124</definedName>
    <definedName name="_ftn1" localSheetId="1">Illustration!#REF!</definedName>
    <definedName name="_ftnref1" localSheetId="0">'Calcs Option 4'!$Q$118</definedName>
    <definedName name="_ftnref1" localSheetId="1">Illustration!#REF!</definedName>
    <definedName name="_xlnm.Print_Area" localSheetId="0">'Calcs Option 4'!$B$129:$H$160</definedName>
    <definedName name="_xlnm.Print_Area" localSheetId="1">Illustration!$B$3:$K$134</definedName>
    <definedName name="_xlnm.Print_Titles" localSheetId="1">Illustration!$1:$2</definedName>
  </definedNames>
  <calcPr calcId="171027" calcMode="manual" iterateCount="10000" calcOnSave="0"/>
</workbook>
</file>

<file path=xl/calcChain.xml><?xml version="1.0" encoding="utf-8"?>
<calcChain xmlns="http://schemas.openxmlformats.org/spreadsheetml/2006/main">
  <c r="C149" i="2" l="1"/>
  <c r="B130" i="2" l="1"/>
  <c r="E138" i="2"/>
  <c r="D138" i="2"/>
  <c r="C138" i="2"/>
  <c r="F138" i="2" l="1"/>
  <c r="G138" i="2" l="1"/>
  <c r="D44" i="2"/>
  <c r="E5" i="2"/>
  <c r="P117" i="2" l="1"/>
  <c r="R117" i="2" s="1"/>
  <c r="K131" i="1"/>
  <c r="B131" i="1"/>
  <c r="B93" i="2"/>
  <c r="B124" i="1" s="1"/>
  <c r="B78" i="2"/>
  <c r="B104" i="1" s="1"/>
  <c r="B79" i="2"/>
  <c r="B105" i="1" s="1"/>
  <c r="B92" i="2"/>
  <c r="B123" i="1" s="1"/>
  <c r="K130" i="1"/>
  <c r="K129" i="1"/>
  <c r="I128" i="1"/>
  <c r="K127" i="1"/>
  <c r="K126" i="1"/>
  <c r="K125" i="1"/>
  <c r="K124" i="1"/>
  <c r="K123" i="1"/>
  <c r="K121" i="1"/>
  <c r="K122" i="1" s="1"/>
  <c r="I122" i="1"/>
  <c r="K120" i="1"/>
  <c r="I119" i="1"/>
  <c r="K118" i="1"/>
  <c r="I117" i="1"/>
  <c r="K116" i="1"/>
  <c r="K115" i="1"/>
  <c r="K114" i="1"/>
  <c r="I113" i="1"/>
  <c r="K112" i="1"/>
  <c r="K111" i="1"/>
  <c r="K110" i="1"/>
  <c r="K109" i="1"/>
  <c r="K108" i="1"/>
  <c r="K106" i="1"/>
  <c r="K105" i="1"/>
  <c r="K104" i="1"/>
  <c r="K103" i="1"/>
  <c r="K102" i="1"/>
  <c r="K101" i="1"/>
  <c r="K100" i="1"/>
  <c r="I99" i="1"/>
  <c r="K98" i="1"/>
  <c r="K99" i="1" s="1"/>
  <c r="K97" i="1"/>
  <c r="I107" i="1"/>
  <c r="K96" i="1"/>
  <c r="K95" i="1"/>
  <c r="K94" i="1"/>
  <c r="K93" i="1"/>
  <c r="I92" i="1"/>
  <c r="K91" i="1"/>
  <c r="K90" i="1"/>
  <c r="K88" i="1"/>
  <c r="I89" i="1"/>
  <c r="I87" i="1"/>
  <c r="K86" i="1"/>
  <c r="I85" i="1"/>
  <c r="K84" i="1"/>
  <c r="K82" i="1"/>
  <c r="K80" i="1"/>
  <c r="K81" i="1" s="1"/>
  <c r="K78" i="1"/>
  <c r="K79" i="1" s="1"/>
  <c r="I79" i="1"/>
  <c r="K76" i="1"/>
  <c r="F76" i="1"/>
  <c r="C76" i="1"/>
  <c r="E76" i="1" s="1"/>
  <c r="C62" i="1"/>
  <c r="B66" i="1"/>
  <c r="B64" i="1"/>
  <c r="B62" i="1"/>
  <c r="K67" i="1"/>
  <c r="K66" i="1"/>
  <c r="K65" i="1"/>
  <c r="K64" i="1"/>
  <c r="K63" i="1"/>
  <c r="K62" i="1"/>
  <c r="E62" i="1"/>
  <c r="F62" i="1"/>
  <c r="K55" i="1"/>
  <c r="K54" i="1"/>
  <c r="K53" i="1"/>
  <c r="K51" i="1"/>
  <c r="K50" i="1"/>
  <c r="K49" i="1"/>
  <c r="K48" i="1"/>
  <c r="K46" i="1"/>
  <c r="K47" i="1" s="1"/>
  <c r="K45" i="1"/>
  <c r="K44" i="1"/>
  <c r="K43" i="1"/>
  <c r="K41" i="1"/>
  <c r="K40" i="1"/>
  <c r="K39" i="1"/>
  <c r="K38" i="1"/>
  <c r="K37" i="1"/>
  <c r="K35" i="1"/>
  <c r="K34" i="1"/>
  <c r="K33" i="1"/>
  <c r="K32" i="1"/>
  <c r="K31" i="1"/>
  <c r="K30" i="1"/>
  <c r="K29" i="1"/>
  <c r="K27" i="1"/>
  <c r="K28" i="1" s="1"/>
  <c r="K26" i="1"/>
  <c r="K25" i="1"/>
  <c r="K24" i="1"/>
  <c r="K22" i="1"/>
  <c r="K21" i="1"/>
  <c r="K20" i="1"/>
  <c r="K18" i="1"/>
  <c r="K17" i="1"/>
  <c r="K15" i="1"/>
  <c r="K13" i="1"/>
  <c r="K11" i="1"/>
  <c r="K9" i="1"/>
  <c r="K7" i="1"/>
  <c r="K8" i="1" s="1"/>
  <c r="K5" i="1"/>
  <c r="C46" i="1"/>
  <c r="C45" i="1"/>
  <c r="C44" i="1"/>
  <c r="C5" i="1"/>
  <c r="E46" i="1"/>
  <c r="E45" i="1"/>
  <c r="E44" i="1"/>
  <c r="E5" i="1"/>
  <c r="F5" i="1"/>
  <c r="B98" i="2"/>
  <c r="B130" i="1" s="1"/>
  <c r="E148" i="2" l="1"/>
  <c r="D148" i="2"/>
  <c r="G148" i="2"/>
  <c r="C148" i="2"/>
  <c r="F148" i="2"/>
  <c r="D102" i="2"/>
  <c r="R116" i="2" l="1"/>
  <c r="R109" i="2"/>
  <c r="F137" i="2" l="1"/>
  <c r="E137" i="2"/>
  <c r="D137" i="2"/>
  <c r="G137" i="2"/>
  <c r="C137" i="2"/>
  <c r="M108" i="2"/>
  <c r="E59" i="2" l="1"/>
  <c r="B21" i="2" l="1"/>
  <c r="B30" i="1" s="1"/>
  <c r="B24" i="2"/>
  <c r="B33" i="1" s="1"/>
  <c r="B27" i="2"/>
  <c r="B37" i="1" s="1"/>
  <c r="B30" i="2"/>
  <c r="B40" i="1" s="1"/>
  <c r="B34" i="2"/>
  <c r="B45" i="1" s="1"/>
  <c r="B36" i="2"/>
  <c r="B48" i="1" s="1"/>
  <c r="B19" i="2"/>
  <c r="B18" i="2"/>
  <c r="B26" i="1" s="1"/>
  <c r="B38" i="2"/>
  <c r="B50" i="1" s="1"/>
  <c r="B37" i="2"/>
  <c r="B49" i="1" s="1"/>
  <c r="B35" i="2"/>
  <c r="B46" i="1" s="1"/>
  <c r="B33" i="2"/>
  <c r="B44" i="1" s="1"/>
  <c r="B32" i="2"/>
  <c r="B31" i="2"/>
  <c r="B29" i="2"/>
  <c r="B28" i="2"/>
  <c r="B26" i="2"/>
  <c r="B25" i="2"/>
  <c r="B23" i="2"/>
  <c r="B22" i="2"/>
  <c r="B20" i="2"/>
  <c r="B85" i="2"/>
  <c r="B112" i="1" s="1"/>
  <c r="B84" i="2"/>
  <c r="B111" i="1" s="1"/>
  <c r="B89" i="2"/>
  <c r="B118" i="1" s="1"/>
  <c r="B88" i="2"/>
  <c r="B116" i="1" s="1"/>
  <c r="B83" i="2" l="1"/>
  <c r="B110" i="1" s="1"/>
  <c r="B82" i="2"/>
  <c r="B109" i="1" s="1"/>
  <c r="B91" i="2"/>
  <c r="B121" i="1" s="1"/>
  <c r="B90" i="2"/>
  <c r="B120" i="1" s="1"/>
  <c r="B86" i="2"/>
  <c r="B80" i="2"/>
  <c r="B77" i="2"/>
  <c r="B103" i="1" s="1"/>
  <c r="B76" i="2"/>
  <c r="B102" i="1" s="1"/>
  <c r="B74" i="2"/>
  <c r="B73" i="2"/>
  <c r="B98" i="1" s="1"/>
  <c r="B71" i="2"/>
  <c r="B70" i="2"/>
  <c r="B95" i="1" s="1"/>
  <c r="B68" i="2"/>
  <c r="B17" i="2"/>
  <c r="B5" i="1"/>
  <c r="B7" i="1"/>
  <c r="B9" i="1"/>
  <c r="F50" i="2"/>
  <c r="F51" i="2" l="1"/>
  <c r="F66" i="1" s="1"/>
  <c r="F64" i="1"/>
  <c r="B81" i="2"/>
  <c r="B108" i="1" s="1"/>
  <c r="B106" i="1"/>
  <c r="B72" i="2"/>
  <c r="B97" i="1" s="1"/>
  <c r="B96" i="1"/>
  <c r="B69" i="2"/>
  <c r="B94" i="1" s="1"/>
  <c r="B93" i="1"/>
  <c r="B75" i="2"/>
  <c r="B101" i="1" s="1"/>
  <c r="B100" i="1"/>
  <c r="B87" i="2"/>
  <c r="B115" i="1" s="1"/>
  <c r="B114" i="1"/>
  <c r="K128" i="1"/>
  <c r="K119" i="1"/>
  <c r="K117" i="1"/>
  <c r="K113" i="1"/>
  <c r="K107" i="1"/>
  <c r="K92" i="1"/>
  <c r="K89" i="1"/>
  <c r="K87" i="1"/>
  <c r="K83" i="1"/>
  <c r="K77" i="1"/>
  <c r="I49" i="2"/>
  <c r="F68" i="1"/>
  <c r="C68" i="1"/>
  <c r="E68" i="1" s="1"/>
  <c r="K68" i="1"/>
  <c r="K52" i="1"/>
  <c r="K42" i="1"/>
  <c r="K23" i="1"/>
  <c r="K19" i="1"/>
  <c r="K16" i="1"/>
  <c r="K14" i="1"/>
  <c r="K12" i="1"/>
  <c r="K10" i="1"/>
  <c r="K6" i="1"/>
  <c r="B34" i="1"/>
  <c r="B25" i="1"/>
  <c r="B18" i="1"/>
  <c r="B17" i="1"/>
  <c r="B15" i="1"/>
  <c r="I51" i="2"/>
  <c r="I50" i="2"/>
  <c r="O60" i="2"/>
  <c r="O61" i="2" s="1"/>
  <c r="O62" i="2" s="1"/>
  <c r="O63" i="2" s="1"/>
  <c r="O64" i="2" s="1"/>
  <c r="O65" i="2" s="1"/>
  <c r="O67" i="2" s="1"/>
  <c r="O73" i="2" s="1"/>
  <c r="O80" i="2" s="1"/>
  <c r="O85" i="2" s="1"/>
  <c r="O88" i="2" s="1"/>
  <c r="O89" i="2" s="1"/>
  <c r="O91" i="2" s="1"/>
  <c r="O50" i="2"/>
  <c r="O51" i="2" s="1"/>
  <c r="O7" i="2"/>
  <c r="O8" i="2" s="1"/>
  <c r="O9" i="2" s="1"/>
  <c r="O10" i="2" s="1"/>
  <c r="O15" i="2" s="1"/>
  <c r="O19" i="2" s="1"/>
  <c r="O26" i="2" s="1"/>
  <c r="C50" i="2"/>
  <c r="I83" i="1"/>
  <c r="I81" i="1"/>
  <c r="I77" i="1"/>
  <c r="B97" i="2"/>
  <c r="B129" i="1" s="1"/>
  <c r="B96" i="2"/>
  <c r="B127" i="1" s="1"/>
  <c r="B95" i="2"/>
  <c r="B126" i="1" s="1"/>
  <c r="B94" i="2"/>
  <c r="B125" i="1" s="1"/>
  <c r="B67" i="2"/>
  <c r="B91" i="1" s="1"/>
  <c r="B66" i="2"/>
  <c r="B90" i="1" s="1"/>
  <c r="B65" i="2"/>
  <c r="B88" i="1" s="1"/>
  <c r="B64" i="2"/>
  <c r="B86" i="1" s="1"/>
  <c r="B63" i="2"/>
  <c r="B84" i="1" s="1"/>
  <c r="B62" i="2"/>
  <c r="B82" i="1" s="1"/>
  <c r="B61" i="2"/>
  <c r="B80" i="1" s="1"/>
  <c r="F60" i="2"/>
  <c r="F78" i="1" s="1"/>
  <c r="C60" i="2"/>
  <c r="B60" i="2"/>
  <c r="B78" i="1" s="1"/>
  <c r="G59" i="2"/>
  <c r="B59" i="2"/>
  <c r="B76" i="1" s="1"/>
  <c r="B54" i="2"/>
  <c r="B55" i="2" s="1"/>
  <c r="B42" i="2"/>
  <c r="B55" i="1" s="1"/>
  <c r="B41" i="2"/>
  <c r="B54" i="1" s="1"/>
  <c r="B40" i="2"/>
  <c r="B53" i="1" s="1"/>
  <c r="B39" i="2"/>
  <c r="B51" i="1" s="1"/>
  <c r="B43" i="1"/>
  <c r="B41" i="1"/>
  <c r="B39" i="1"/>
  <c r="B38" i="1"/>
  <c r="B35" i="1"/>
  <c r="B32" i="1"/>
  <c r="B31" i="1"/>
  <c r="B29" i="1"/>
  <c r="B27" i="1"/>
  <c r="B16" i="2"/>
  <c r="B24" i="1" s="1"/>
  <c r="B15" i="2"/>
  <c r="B22" i="1" s="1"/>
  <c r="B14" i="2"/>
  <c r="B21" i="1" s="1"/>
  <c r="B13" i="2"/>
  <c r="B20" i="1" s="1"/>
  <c r="B9" i="2"/>
  <c r="B13" i="1" s="1"/>
  <c r="B8" i="2"/>
  <c r="B11" i="1" s="1"/>
  <c r="F6" i="2"/>
  <c r="F7" i="1" s="1"/>
  <c r="C6" i="2"/>
  <c r="I5" i="2"/>
  <c r="C7" i="2" l="1"/>
  <c r="C8" i="2" s="1"/>
  <c r="C7" i="1"/>
  <c r="E7" i="1"/>
  <c r="J49" i="2"/>
  <c r="G62" i="1"/>
  <c r="C61" i="2"/>
  <c r="C78" i="1"/>
  <c r="E78" i="1" s="1"/>
  <c r="C51" i="2"/>
  <c r="F54" i="2" s="1"/>
  <c r="G54" i="2" s="1"/>
  <c r="E64" i="1"/>
  <c r="C64" i="1"/>
  <c r="J50" i="2"/>
  <c r="G64" i="1"/>
  <c r="I59" i="2"/>
  <c r="G76" i="1"/>
  <c r="J51" i="2"/>
  <c r="G66" i="1"/>
  <c r="K85" i="1"/>
  <c r="B59" i="1"/>
  <c r="J5" i="2"/>
  <c r="G5" i="1"/>
  <c r="M5" i="1" s="1"/>
  <c r="E60" i="2"/>
  <c r="E6" i="2"/>
  <c r="B132" i="1"/>
  <c r="B102" i="2"/>
  <c r="B103" i="2" s="1"/>
  <c r="I6" i="2"/>
  <c r="F7" i="2"/>
  <c r="B73" i="1"/>
  <c r="K36" i="1"/>
  <c r="B44" i="2"/>
  <c r="B45" i="2" s="1"/>
  <c r="K102" i="2"/>
  <c r="K54" i="2"/>
  <c r="K44" i="2"/>
  <c r="F61" i="2"/>
  <c r="F80" i="1" s="1"/>
  <c r="G60" i="2"/>
  <c r="C9" i="2" l="1"/>
  <c r="C11" i="1"/>
  <c r="E11" i="1"/>
  <c r="C66" i="1"/>
  <c r="E66" i="1" s="1"/>
  <c r="K49" i="2"/>
  <c r="H62" i="1"/>
  <c r="I60" i="2"/>
  <c r="G78" i="1"/>
  <c r="K51" i="2"/>
  <c r="H66" i="1"/>
  <c r="K50" i="2"/>
  <c r="H64" i="1"/>
  <c r="C62" i="2"/>
  <c r="C80" i="1"/>
  <c r="E80" i="1" s="1"/>
  <c r="K59" i="2"/>
  <c r="H76" i="1"/>
  <c r="C9" i="1"/>
  <c r="E9" i="1"/>
  <c r="J6" i="2"/>
  <c r="G7" i="1"/>
  <c r="E7" i="2"/>
  <c r="F9" i="1"/>
  <c r="K5" i="2"/>
  <c r="H5" i="1"/>
  <c r="B110" i="2"/>
  <c r="E61" i="2"/>
  <c r="M76" i="1"/>
  <c r="M62" i="1"/>
  <c r="B108" i="2"/>
  <c r="F8" i="2"/>
  <c r="E8" i="2" s="1"/>
  <c r="I7" i="2"/>
  <c r="G68" i="1"/>
  <c r="H68" i="1"/>
  <c r="B134" i="1"/>
  <c r="F62" i="2"/>
  <c r="F82" i="1" s="1"/>
  <c r="G61" i="2"/>
  <c r="G153" i="2" l="1"/>
  <c r="G154" i="2" s="1"/>
  <c r="C153" i="2"/>
  <c r="C154" i="2" s="1"/>
  <c r="F153" i="2"/>
  <c r="F154" i="2" s="1"/>
  <c r="E153" i="2"/>
  <c r="E154" i="2" s="1"/>
  <c r="D153" i="2"/>
  <c r="D154" i="2" s="1"/>
  <c r="B111" i="2"/>
  <c r="H110" i="2"/>
  <c r="L5" i="2"/>
  <c r="H6" i="1"/>
  <c r="L59" i="2"/>
  <c r="H77" i="1"/>
  <c r="K60" i="2"/>
  <c r="H78" i="1"/>
  <c r="C63" i="2"/>
  <c r="C82" i="1"/>
  <c r="E82" i="1" s="1"/>
  <c r="L51" i="2"/>
  <c r="U51" i="2" s="1"/>
  <c r="V51" i="2" s="1"/>
  <c r="H67" i="1"/>
  <c r="L49" i="2"/>
  <c r="H63" i="1"/>
  <c r="L50" i="2"/>
  <c r="H65" i="1"/>
  <c r="I61" i="2"/>
  <c r="G80" i="1"/>
  <c r="C10" i="2"/>
  <c r="C13" i="1"/>
  <c r="E13" i="1"/>
  <c r="J7" i="2"/>
  <c r="G9" i="1"/>
  <c r="F11" i="1"/>
  <c r="K6" i="2"/>
  <c r="H7" i="1"/>
  <c r="M78" i="1"/>
  <c r="E62" i="2"/>
  <c r="R125" i="2"/>
  <c r="N76" i="1"/>
  <c r="M66" i="1"/>
  <c r="M64" i="1"/>
  <c r="F9" i="2"/>
  <c r="I8" i="2"/>
  <c r="N5" i="1"/>
  <c r="M7" i="1"/>
  <c r="G62" i="2"/>
  <c r="F63" i="2"/>
  <c r="F84" i="1" s="1"/>
  <c r="E155" i="2" l="1"/>
  <c r="D155" i="2"/>
  <c r="D159" i="2" s="1"/>
  <c r="G155" i="2"/>
  <c r="C155" i="2"/>
  <c r="F155" i="2"/>
  <c r="B114" i="2"/>
  <c r="B120" i="2" s="1"/>
  <c r="R122" i="2" s="1"/>
  <c r="R127" i="2" s="1"/>
  <c r="H111" i="2"/>
  <c r="I62" i="2"/>
  <c r="G82" i="1"/>
  <c r="L6" i="2"/>
  <c r="H8" i="1"/>
  <c r="K61" i="2"/>
  <c r="H80" i="1"/>
  <c r="M49" i="2"/>
  <c r="N49" i="2" s="1"/>
  <c r="F63" i="1"/>
  <c r="C64" i="2"/>
  <c r="C84" i="1"/>
  <c r="E84" i="1" s="1"/>
  <c r="M59" i="2"/>
  <c r="N59" i="2" s="1"/>
  <c r="F77" i="1"/>
  <c r="C11" i="2"/>
  <c r="C15" i="1"/>
  <c r="E15" i="1"/>
  <c r="M50" i="2"/>
  <c r="N50" i="2" s="1"/>
  <c r="F65" i="1"/>
  <c r="O65" i="1" s="1"/>
  <c r="F67" i="1"/>
  <c r="O67" i="1" s="1"/>
  <c r="P51" i="2"/>
  <c r="M51" i="2"/>
  <c r="N51" i="2" s="1"/>
  <c r="L60" i="2"/>
  <c r="H79" i="1"/>
  <c r="M5" i="2"/>
  <c r="N5" i="2" s="1"/>
  <c r="F6" i="1"/>
  <c r="J8" i="2"/>
  <c r="G11" i="1"/>
  <c r="E9" i="2"/>
  <c r="F13" i="1"/>
  <c r="K7" i="2"/>
  <c r="H9" i="1"/>
  <c r="N78" i="1"/>
  <c r="E63" i="2"/>
  <c r="M80" i="1"/>
  <c r="N64" i="1"/>
  <c r="N66" i="1"/>
  <c r="N62" i="1"/>
  <c r="F10" i="2"/>
  <c r="I9" i="2"/>
  <c r="N7" i="1"/>
  <c r="M9" i="1"/>
  <c r="F64" i="2"/>
  <c r="F86" i="1" s="1"/>
  <c r="G63" i="2"/>
  <c r="C159" i="2" l="1"/>
  <c r="G159" i="2"/>
  <c r="F159" i="2"/>
  <c r="E159" i="2"/>
  <c r="I63" i="2"/>
  <c r="G84" i="1"/>
  <c r="M60" i="2"/>
  <c r="N60" i="2" s="1"/>
  <c r="F79" i="1"/>
  <c r="O79" i="1" s="1"/>
  <c r="L7" i="2"/>
  <c r="H10" i="1"/>
  <c r="M6" i="2"/>
  <c r="N6" i="2" s="1"/>
  <c r="F8" i="1"/>
  <c r="C12" i="2"/>
  <c r="C17" i="1"/>
  <c r="E17" i="1"/>
  <c r="C65" i="2"/>
  <c r="C86" i="1"/>
  <c r="E86" i="1" s="1"/>
  <c r="L61" i="2"/>
  <c r="H81" i="1"/>
  <c r="K62" i="2"/>
  <c r="H82" i="1"/>
  <c r="N80" i="1"/>
  <c r="J9" i="2"/>
  <c r="G13" i="1"/>
  <c r="E10" i="2"/>
  <c r="F15" i="1"/>
  <c r="K8" i="2"/>
  <c r="H11" i="1"/>
  <c r="N11" i="1" s="1"/>
  <c r="M82" i="1"/>
  <c r="E64" i="2"/>
  <c r="M11" i="1"/>
  <c r="O77" i="1"/>
  <c r="O63" i="1"/>
  <c r="I10" i="2"/>
  <c r="F11" i="2"/>
  <c r="E11" i="2" s="1"/>
  <c r="O6" i="1"/>
  <c r="N9" i="1"/>
  <c r="F65" i="2"/>
  <c r="F88" i="1" s="1"/>
  <c r="G64" i="2"/>
  <c r="C66" i="2" l="1"/>
  <c r="C88" i="1"/>
  <c r="E88" i="1" s="1"/>
  <c r="M61" i="2"/>
  <c r="N61" i="2" s="1"/>
  <c r="F81" i="1"/>
  <c r="O81" i="1" s="1"/>
  <c r="L8" i="2"/>
  <c r="H12" i="1"/>
  <c r="L62" i="2"/>
  <c r="H83" i="1"/>
  <c r="I64" i="2"/>
  <c r="G86" i="1"/>
  <c r="C13" i="2"/>
  <c r="C18" i="1"/>
  <c r="E18" i="1"/>
  <c r="M7" i="2"/>
  <c r="N7" i="2" s="1"/>
  <c r="F10" i="1"/>
  <c r="K63" i="2"/>
  <c r="H84" i="1"/>
  <c r="J10" i="2"/>
  <c r="G15" i="1"/>
  <c r="N82" i="1"/>
  <c r="F17" i="1"/>
  <c r="K9" i="2"/>
  <c r="H13" i="1"/>
  <c r="M84" i="1"/>
  <c r="E65" i="2"/>
  <c r="F12" i="2"/>
  <c r="E12" i="2" s="1"/>
  <c r="I11" i="2"/>
  <c r="M13" i="1"/>
  <c r="O8" i="1"/>
  <c r="F66" i="2"/>
  <c r="F90" i="1" s="1"/>
  <c r="G65" i="2"/>
  <c r="C14" i="2" l="1"/>
  <c r="C20" i="1"/>
  <c r="E20" i="1"/>
  <c r="L63" i="2"/>
  <c r="H85" i="1"/>
  <c r="I65" i="2"/>
  <c r="G88" i="1"/>
  <c r="M88" i="1" s="1"/>
  <c r="L9" i="2"/>
  <c r="H14" i="1"/>
  <c r="M62" i="2"/>
  <c r="N62" i="2" s="1"/>
  <c r="F83" i="1"/>
  <c r="O83" i="1" s="1"/>
  <c r="F18" i="1"/>
  <c r="K64" i="2"/>
  <c r="H86" i="1"/>
  <c r="M8" i="2"/>
  <c r="N8" i="2" s="1"/>
  <c r="F12" i="1"/>
  <c r="O12" i="1" s="1"/>
  <c r="C67" i="2"/>
  <c r="C90" i="1"/>
  <c r="E90" i="1" s="1"/>
  <c r="N84" i="1"/>
  <c r="M15" i="1"/>
  <c r="J11" i="2"/>
  <c r="H17" i="1" s="1"/>
  <c r="G17" i="1"/>
  <c r="K10" i="2"/>
  <c r="H15" i="1"/>
  <c r="M86" i="1"/>
  <c r="E66" i="2"/>
  <c r="N13" i="1"/>
  <c r="I12" i="2"/>
  <c r="F13" i="2"/>
  <c r="F20" i="1" s="1"/>
  <c r="O10" i="1"/>
  <c r="F67" i="2"/>
  <c r="F91" i="1" s="1"/>
  <c r="G66" i="2"/>
  <c r="U11" i="2" l="1"/>
  <c r="V11" i="2" s="1"/>
  <c r="P11" i="2"/>
  <c r="Q11" i="2" s="1"/>
  <c r="R11" i="2" s="1"/>
  <c r="K11" i="2"/>
  <c r="L11" i="2" s="1"/>
  <c r="M11" i="2" s="1"/>
  <c r="N11" i="2" s="1"/>
  <c r="M63" i="2"/>
  <c r="N63" i="2" s="1"/>
  <c r="F85" i="1"/>
  <c r="O85" i="1" s="1"/>
  <c r="K65" i="2"/>
  <c r="H88" i="1"/>
  <c r="N88" i="1" s="1"/>
  <c r="M9" i="2"/>
  <c r="N9" i="2" s="1"/>
  <c r="F14" i="1"/>
  <c r="O14" i="1" s="1"/>
  <c r="I66" i="2"/>
  <c r="H90" i="1" s="1"/>
  <c r="G90" i="1"/>
  <c r="M90" i="1" s="1"/>
  <c r="C68" i="2"/>
  <c r="C91" i="1"/>
  <c r="E91" i="1" s="1"/>
  <c r="L64" i="2"/>
  <c r="H87" i="1"/>
  <c r="J12" i="2"/>
  <c r="G18" i="1"/>
  <c r="L10" i="2"/>
  <c r="H16" i="1"/>
  <c r="C15" i="2"/>
  <c r="C21" i="1"/>
  <c r="E21" i="1"/>
  <c r="N15" i="1"/>
  <c r="M17" i="1"/>
  <c r="E13" i="2"/>
  <c r="N86" i="1"/>
  <c r="E67" i="2"/>
  <c r="F14" i="2"/>
  <c r="F21" i="1" s="1"/>
  <c r="I13" i="2"/>
  <c r="G20" i="1" s="1"/>
  <c r="F68" i="2"/>
  <c r="F93" i="1" s="1"/>
  <c r="G67" i="2"/>
  <c r="P66" i="2" l="1"/>
  <c r="Q66" i="2" s="1"/>
  <c r="R66" i="2" s="1"/>
  <c r="U66" i="2"/>
  <c r="V66" i="2" s="1"/>
  <c r="I67" i="2"/>
  <c r="G91" i="1"/>
  <c r="M91" i="1" s="1"/>
  <c r="M10" i="2"/>
  <c r="N10" i="2" s="1"/>
  <c r="F16" i="1"/>
  <c r="N90" i="1"/>
  <c r="M64" i="2"/>
  <c r="N64" i="2" s="1"/>
  <c r="F87" i="1"/>
  <c r="O87" i="1" s="1"/>
  <c r="L65" i="2"/>
  <c r="H89" i="1"/>
  <c r="K66" i="2"/>
  <c r="L66" i="2" s="1"/>
  <c r="M66" i="2" s="1"/>
  <c r="N66" i="2" s="1"/>
  <c r="C16" i="2"/>
  <c r="C22" i="1"/>
  <c r="E22" i="1"/>
  <c r="K12" i="2"/>
  <c r="H18" i="1"/>
  <c r="C93" i="1"/>
  <c r="E93" i="1" s="1"/>
  <c r="C69" i="2"/>
  <c r="E14" i="2"/>
  <c r="J13" i="2"/>
  <c r="F69" i="2"/>
  <c r="G69" i="2" s="1"/>
  <c r="E68" i="2"/>
  <c r="N17" i="1"/>
  <c r="M18" i="1"/>
  <c r="F15" i="2"/>
  <c r="F22" i="1" s="1"/>
  <c r="I14" i="2"/>
  <c r="G21" i="1" s="1"/>
  <c r="G68" i="2"/>
  <c r="H20" i="1" l="1"/>
  <c r="P13" i="2"/>
  <c r="Q13" i="2" s="1"/>
  <c r="R13" i="2" s="1"/>
  <c r="C17" i="2"/>
  <c r="C24" i="1"/>
  <c r="E24" i="1"/>
  <c r="I69" i="2"/>
  <c r="H94" i="1" s="1"/>
  <c r="G94" i="1"/>
  <c r="M65" i="2"/>
  <c r="N65" i="2" s="1"/>
  <c r="F89" i="1"/>
  <c r="O89" i="1" s="1"/>
  <c r="I68" i="2"/>
  <c r="H93" i="1" s="1"/>
  <c r="G93" i="1"/>
  <c r="L12" i="2"/>
  <c r="H19" i="1"/>
  <c r="U13" i="2"/>
  <c r="V13" i="2" s="1"/>
  <c r="E69" i="2"/>
  <c r="F94" i="1"/>
  <c r="C94" i="1"/>
  <c r="E94" i="1" s="1"/>
  <c r="C70" i="2"/>
  <c r="K67" i="2"/>
  <c r="H91" i="1"/>
  <c r="N91" i="1" s="1"/>
  <c r="K13" i="2"/>
  <c r="L13" i="2" s="1"/>
  <c r="M13" i="2" s="1"/>
  <c r="N13" i="2" s="1"/>
  <c r="J14" i="2"/>
  <c r="K14" i="2" s="1"/>
  <c r="L14" i="2" s="1"/>
  <c r="M14" i="2" s="1"/>
  <c r="N14" i="2" s="1"/>
  <c r="N18" i="1"/>
  <c r="F70" i="2"/>
  <c r="F71" i="2" s="1"/>
  <c r="F96" i="1" s="1"/>
  <c r="O16" i="1"/>
  <c r="M20" i="1"/>
  <c r="I15" i="2"/>
  <c r="F16" i="2"/>
  <c r="F24" i="1" s="1"/>
  <c r="P68" i="2" l="1"/>
  <c r="Q68" i="2" s="1"/>
  <c r="R68" i="2" s="1"/>
  <c r="K69" i="2"/>
  <c r="L69" i="2" s="1"/>
  <c r="M69" i="2" s="1"/>
  <c r="N69" i="2" s="1"/>
  <c r="H21" i="1"/>
  <c r="P14" i="2"/>
  <c r="Q14" i="2" s="1"/>
  <c r="R14" i="2" s="1"/>
  <c r="C95" i="1"/>
  <c r="E95" i="1" s="1"/>
  <c r="C71" i="2"/>
  <c r="P69" i="2"/>
  <c r="Q69" i="2" s="1"/>
  <c r="R69" i="2" s="1"/>
  <c r="K68" i="2"/>
  <c r="L68" i="2" s="1"/>
  <c r="M68" i="2" s="1"/>
  <c r="N68" i="2" s="1"/>
  <c r="U68" i="2"/>
  <c r="V68" i="2" s="1"/>
  <c r="J15" i="2"/>
  <c r="G22" i="1"/>
  <c r="G70" i="2"/>
  <c r="F95" i="1"/>
  <c r="M12" i="2"/>
  <c r="N12" i="2" s="1"/>
  <c r="F19" i="1"/>
  <c r="O19" i="1" s="1"/>
  <c r="U69" i="2"/>
  <c r="V69" i="2" s="1"/>
  <c r="U14" i="2"/>
  <c r="V14" i="2" s="1"/>
  <c r="L67" i="2"/>
  <c r="H92" i="1"/>
  <c r="C25" i="1"/>
  <c r="E25" i="1"/>
  <c r="C18" i="2"/>
  <c r="E16" i="2"/>
  <c r="E70" i="2"/>
  <c r="M94" i="1"/>
  <c r="F72" i="2"/>
  <c r="E71" i="2"/>
  <c r="N20" i="1"/>
  <c r="M93" i="1"/>
  <c r="F17" i="2"/>
  <c r="F25" i="1" s="1"/>
  <c r="I16" i="2"/>
  <c r="G24" i="1" s="1"/>
  <c r="G71" i="2"/>
  <c r="I71" i="2" l="1"/>
  <c r="H96" i="1" s="1"/>
  <c r="G96" i="1"/>
  <c r="E26" i="1"/>
  <c r="C26" i="1"/>
  <c r="C19" i="2"/>
  <c r="M67" i="2"/>
  <c r="N67" i="2" s="1"/>
  <c r="F92" i="1"/>
  <c r="O92" i="1" s="1"/>
  <c r="K15" i="2"/>
  <c r="H22" i="1"/>
  <c r="C96" i="1"/>
  <c r="E96" i="1" s="1"/>
  <c r="C72" i="2"/>
  <c r="G72" i="2"/>
  <c r="F97" i="1"/>
  <c r="G95" i="1"/>
  <c r="M95" i="1" s="1"/>
  <c r="I70" i="2"/>
  <c r="J16" i="2"/>
  <c r="H24" i="1" s="1"/>
  <c r="M21" i="1"/>
  <c r="N21" i="1"/>
  <c r="N94" i="1"/>
  <c r="E72" i="2"/>
  <c r="F73" i="2"/>
  <c r="N93" i="1"/>
  <c r="E17" i="2"/>
  <c r="F18" i="2"/>
  <c r="F26" i="1" s="1"/>
  <c r="F19" i="2"/>
  <c r="F27" i="1" s="1"/>
  <c r="I17" i="2"/>
  <c r="G25" i="1" s="1"/>
  <c r="P71" i="2" l="1"/>
  <c r="Q71" i="2" s="1"/>
  <c r="R71" i="2" s="1"/>
  <c r="U71" i="2"/>
  <c r="V71" i="2" s="1"/>
  <c r="K71" i="2"/>
  <c r="L71" i="2" s="1"/>
  <c r="M71" i="2" s="1"/>
  <c r="N71" i="2" s="1"/>
  <c r="H95" i="1"/>
  <c r="N95" i="1" s="1"/>
  <c r="K70" i="2"/>
  <c r="L70" i="2" s="1"/>
  <c r="M70" i="2" s="1"/>
  <c r="N70" i="2" s="1"/>
  <c r="U70" i="2"/>
  <c r="V70" i="2" s="1"/>
  <c r="P70" i="2"/>
  <c r="Q70" i="2" s="1"/>
  <c r="R70" i="2" s="1"/>
  <c r="I72" i="2"/>
  <c r="G97" i="1"/>
  <c r="L15" i="2"/>
  <c r="H23" i="1"/>
  <c r="G73" i="2"/>
  <c r="F98" i="1"/>
  <c r="C97" i="1"/>
  <c r="E97" i="1" s="1"/>
  <c r="C73" i="2"/>
  <c r="E27" i="1"/>
  <c r="C27" i="1"/>
  <c r="C20" i="2"/>
  <c r="J17" i="2"/>
  <c r="H25" i="1" s="1"/>
  <c r="M22" i="1"/>
  <c r="U16" i="2"/>
  <c r="V16" i="2" s="1"/>
  <c r="K16" i="2"/>
  <c r="L16" i="2" s="1"/>
  <c r="M16" i="2" s="1"/>
  <c r="N16" i="2" s="1"/>
  <c r="P16" i="2"/>
  <c r="Q16" i="2" s="1"/>
  <c r="R16" i="2" s="1"/>
  <c r="N22" i="1"/>
  <c r="F74" i="2"/>
  <c r="E73" i="2"/>
  <c r="M96" i="1"/>
  <c r="I18" i="2"/>
  <c r="G26" i="1" s="1"/>
  <c r="E18" i="2"/>
  <c r="I19" i="2"/>
  <c r="G27" i="1" s="1"/>
  <c r="F20" i="2"/>
  <c r="F29" i="1" s="1"/>
  <c r="C98" i="1" l="1"/>
  <c r="E98" i="1" s="1"/>
  <c r="C74" i="2"/>
  <c r="U17" i="2"/>
  <c r="V17" i="2" s="1"/>
  <c r="C29" i="1"/>
  <c r="E29" i="1"/>
  <c r="C21" i="2"/>
  <c r="M15" i="2"/>
  <c r="N15" i="2" s="1"/>
  <c r="F23" i="1"/>
  <c r="O23" i="1" s="1"/>
  <c r="P17" i="2"/>
  <c r="Q17" i="2" s="1"/>
  <c r="R17" i="2" s="1"/>
  <c r="K17" i="2"/>
  <c r="L17" i="2" s="1"/>
  <c r="M17" i="2" s="1"/>
  <c r="N17" i="2" s="1"/>
  <c r="G74" i="2"/>
  <c r="F100" i="1"/>
  <c r="I73" i="2"/>
  <c r="G98" i="1"/>
  <c r="H97" i="1"/>
  <c r="U72" i="2"/>
  <c r="V72" i="2" s="1"/>
  <c r="K72" i="2"/>
  <c r="L72" i="2" s="1"/>
  <c r="M72" i="2" s="1"/>
  <c r="N72" i="2" s="1"/>
  <c r="P72" i="2"/>
  <c r="Q72" i="2" s="1"/>
  <c r="R72" i="2" s="1"/>
  <c r="J19" i="2"/>
  <c r="H27" i="1" s="1"/>
  <c r="J18" i="2"/>
  <c r="M24" i="1"/>
  <c r="F75" i="2"/>
  <c r="F101" i="1" s="1"/>
  <c r="E74" i="2"/>
  <c r="M97" i="1"/>
  <c r="N96" i="1"/>
  <c r="F21" i="2"/>
  <c r="F30" i="1" s="1"/>
  <c r="E20" i="2"/>
  <c r="M25" i="1"/>
  <c r="I20" i="2"/>
  <c r="G29" i="1" s="1"/>
  <c r="F22" i="2"/>
  <c r="F31" i="1" s="1"/>
  <c r="K18" i="2" l="1"/>
  <c r="L18" i="2" s="1"/>
  <c r="M18" i="2" s="1"/>
  <c r="N18" i="2" s="1"/>
  <c r="H26" i="1"/>
  <c r="I74" i="2"/>
  <c r="G100" i="1"/>
  <c r="C30" i="1"/>
  <c r="E30" i="1"/>
  <c r="C22" i="2"/>
  <c r="C100" i="1"/>
  <c r="E100" i="1" s="1"/>
  <c r="C75" i="2"/>
  <c r="P18" i="2"/>
  <c r="Q18" i="2" s="1"/>
  <c r="R18" i="2" s="1"/>
  <c r="H98" i="1"/>
  <c r="K73" i="2"/>
  <c r="E22" i="2"/>
  <c r="U18" i="2"/>
  <c r="V18" i="2" s="1"/>
  <c r="N24" i="1"/>
  <c r="J20" i="2"/>
  <c r="H29" i="1" s="1"/>
  <c r="M26" i="1"/>
  <c r="K19" i="2"/>
  <c r="N25" i="1"/>
  <c r="N97" i="1"/>
  <c r="M98" i="1"/>
  <c r="E75" i="2"/>
  <c r="F76" i="2"/>
  <c r="F102" i="1" s="1"/>
  <c r="G75" i="2"/>
  <c r="I21" i="2"/>
  <c r="G30" i="1" s="1"/>
  <c r="E21" i="2"/>
  <c r="I22" i="2"/>
  <c r="G31" i="1" s="1"/>
  <c r="F23" i="2"/>
  <c r="F32" i="1" s="1"/>
  <c r="I75" i="2" l="1"/>
  <c r="H101" i="1" s="1"/>
  <c r="G101" i="1"/>
  <c r="C31" i="1"/>
  <c r="E31" i="1"/>
  <c r="C23" i="2"/>
  <c r="U20" i="2"/>
  <c r="V20" i="2" s="1"/>
  <c r="L73" i="2"/>
  <c r="H99" i="1"/>
  <c r="H100" i="1"/>
  <c r="P74" i="2"/>
  <c r="Q74" i="2" s="1"/>
  <c r="R74" i="2" s="1"/>
  <c r="K74" i="2"/>
  <c r="L74" i="2" s="1"/>
  <c r="M74" i="2" s="1"/>
  <c r="N74" i="2" s="1"/>
  <c r="U74" i="2"/>
  <c r="V74" i="2" s="1"/>
  <c r="K20" i="2"/>
  <c r="L20" i="2" s="1"/>
  <c r="M20" i="2" s="1"/>
  <c r="N20" i="2" s="1"/>
  <c r="L19" i="2"/>
  <c r="H28" i="1"/>
  <c r="P20" i="2"/>
  <c r="Q20" i="2" s="1"/>
  <c r="R20" i="2" s="1"/>
  <c r="C101" i="1"/>
  <c r="E101" i="1" s="1"/>
  <c r="C76" i="2"/>
  <c r="J21" i="2"/>
  <c r="H30" i="1" s="1"/>
  <c r="M27" i="1"/>
  <c r="J22" i="2"/>
  <c r="H31" i="1" s="1"/>
  <c r="M100" i="1"/>
  <c r="F77" i="2"/>
  <c r="F103" i="1" s="1"/>
  <c r="E76" i="2"/>
  <c r="G76" i="2"/>
  <c r="N98" i="1"/>
  <c r="N26" i="1"/>
  <c r="F24" i="2"/>
  <c r="F33" i="1" s="1"/>
  <c r="E23" i="2"/>
  <c r="M29" i="1"/>
  <c r="I23" i="2"/>
  <c r="G32" i="1" s="1"/>
  <c r="F25" i="2"/>
  <c r="F34" i="1" s="1"/>
  <c r="K75" i="2" l="1"/>
  <c r="L75" i="2" s="1"/>
  <c r="M75" i="2" s="1"/>
  <c r="N75" i="2" s="1"/>
  <c r="P75" i="2"/>
  <c r="Q75" i="2" s="1"/>
  <c r="R75" i="2" s="1"/>
  <c r="K21" i="2"/>
  <c r="L21" i="2" s="1"/>
  <c r="M21" i="2" s="1"/>
  <c r="N21" i="2" s="1"/>
  <c r="P21" i="2"/>
  <c r="Q21" i="2" s="1"/>
  <c r="R21" i="2" s="1"/>
  <c r="M19" i="2"/>
  <c r="F28" i="1"/>
  <c r="O28" i="1" s="1"/>
  <c r="E32" i="1"/>
  <c r="C32" i="1"/>
  <c r="C24" i="2"/>
  <c r="U75" i="2"/>
  <c r="V75" i="2" s="1"/>
  <c r="M73" i="2"/>
  <c r="F99" i="1"/>
  <c r="I76" i="2"/>
  <c r="H102" i="1" s="1"/>
  <c r="G102" i="1"/>
  <c r="C102" i="1"/>
  <c r="E102" i="1" s="1"/>
  <c r="C77" i="2"/>
  <c r="E25" i="2"/>
  <c r="U22" i="2"/>
  <c r="V22" i="2" s="1"/>
  <c r="P22" i="2"/>
  <c r="Q22" i="2" s="1"/>
  <c r="R22" i="2" s="1"/>
  <c r="J23" i="2"/>
  <c r="H32" i="1" s="1"/>
  <c r="K22" i="2"/>
  <c r="L22" i="2" s="1"/>
  <c r="M22" i="2" s="1"/>
  <c r="N22" i="2" s="1"/>
  <c r="U21" i="2"/>
  <c r="V21" i="2" s="1"/>
  <c r="N27" i="1"/>
  <c r="N100" i="1"/>
  <c r="U76" i="2"/>
  <c r="V76" i="2" s="1"/>
  <c r="F78" i="2"/>
  <c r="F104" i="1" s="1"/>
  <c r="G77" i="2"/>
  <c r="M101" i="1"/>
  <c r="N29" i="1"/>
  <c r="I24" i="2"/>
  <c r="G33" i="1" s="1"/>
  <c r="E24" i="2"/>
  <c r="M30" i="1"/>
  <c r="I25" i="2"/>
  <c r="G34" i="1" s="1"/>
  <c r="F26" i="2"/>
  <c r="F35" i="1" s="1"/>
  <c r="P76" i="2" l="1"/>
  <c r="Q76" i="2" s="1"/>
  <c r="R76" i="2" s="1"/>
  <c r="K76" i="2"/>
  <c r="L76" i="2" s="1"/>
  <c r="M76" i="2" s="1"/>
  <c r="N76" i="2" s="1"/>
  <c r="U23" i="2"/>
  <c r="V23" i="2" s="1"/>
  <c r="C103" i="1"/>
  <c r="E103" i="1" s="1"/>
  <c r="C78" i="2"/>
  <c r="P23" i="2"/>
  <c r="Q23" i="2" s="1"/>
  <c r="R23" i="2" s="1"/>
  <c r="K23" i="2"/>
  <c r="L23" i="2" s="1"/>
  <c r="M23" i="2" s="1"/>
  <c r="N23" i="2" s="1"/>
  <c r="I77" i="2"/>
  <c r="H103" i="1" s="1"/>
  <c r="G103" i="1"/>
  <c r="C33" i="1"/>
  <c r="E33" i="1"/>
  <c r="C25" i="2"/>
  <c r="J24" i="2"/>
  <c r="H33" i="1" s="1"/>
  <c r="M31" i="1"/>
  <c r="J25" i="2"/>
  <c r="H34" i="1" s="1"/>
  <c r="M32" i="1"/>
  <c r="F27" i="2"/>
  <c r="F37" i="1" s="1"/>
  <c r="E78" i="2"/>
  <c r="F79" i="2"/>
  <c r="F105" i="1" s="1"/>
  <c r="G78" i="2"/>
  <c r="M102" i="1"/>
  <c r="N101" i="1"/>
  <c r="O99" i="1"/>
  <c r="N30" i="1"/>
  <c r="I26" i="2"/>
  <c r="G35" i="1" s="1"/>
  <c r="F28" i="2"/>
  <c r="F38" i="1" s="1"/>
  <c r="K77" i="2" l="1"/>
  <c r="L77" i="2" s="1"/>
  <c r="M77" i="2" s="1"/>
  <c r="N77" i="2" s="1"/>
  <c r="K24" i="2"/>
  <c r="L24" i="2" s="1"/>
  <c r="M24" i="2" s="1"/>
  <c r="N24" i="2" s="1"/>
  <c r="U77" i="2"/>
  <c r="V77" i="2" s="1"/>
  <c r="P77" i="2"/>
  <c r="Q77" i="2" s="1"/>
  <c r="R77" i="2" s="1"/>
  <c r="E27" i="2"/>
  <c r="I27" i="2"/>
  <c r="G37" i="1" s="1"/>
  <c r="U25" i="2"/>
  <c r="V25" i="2" s="1"/>
  <c r="C104" i="1"/>
  <c r="E104" i="1" s="1"/>
  <c r="C79" i="2"/>
  <c r="K25" i="2"/>
  <c r="L25" i="2" s="1"/>
  <c r="M25" i="2" s="1"/>
  <c r="N25" i="2" s="1"/>
  <c r="P24" i="2"/>
  <c r="Q24" i="2" s="1"/>
  <c r="R24" i="2" s="1"/>
  <c r="I78" i="2"/>
  <c r="H104" i="1" s="1"/>
  <c r="G104" i="1"/>
  <c r="C34" i="1"/>
  <c r="E34" i="1"/>
  <c r="C26" i="2"/>
  <c r="J26" i="2"/>
  <c r="H35" i="1" s="1"/>
  <c r="P25" i="2"/>
  <c r="Q25" i="2" s="1"/>
  <c r="R25" i="2" s="1"/>
  <c r="E28" i="2"/>
  <c r="U24" i="2"/>
  <c r="V24" i="2" s="1"/>
  <c r="N31" i="1"/>
  <c r="M103" i="1"/>
  <c r="F80" i="2"/>
  <c r="F106" i="1" s="1"/>
  <c r="E79" i="2"/>
  <c r="G79" i="2"/>
  <c r="N102" i="1"/>
  <c r="N32" i="1"/>
  <c r="M33" i="1"/>
  <c r="M34" i="1"/>
  <c r="F29" i="2"/>
  <c r="F39" i="1" s="1"/>
  <c r="I28" i="2"/>
  <c r="G38" i="1" s="1"/>
  <c r="J27" i="2" l="1"/>
  <c r="H37" i="1" s="1"/>
  <c r="K78" i="2"/>
  <c r="L78" i="2" s="1"/>
  <c r="M78" i="2" s="1"/>
  <c r="N78" i="2" s="1"/>
  <c r="P78" i="2"/>
  <c r="Q78" i="2" s="1"/>
  <c r="R78" i="2" s="1"/>
  <c r="C105" i="1"/>
  <c r="E105" i="1" s="1"/>
  <c r="C80" i="2"/>
  <c r="I79" i="2"/>
  <c r="H105" i="1" s="1"/>
  <c r="G105" i="1"/>
  <c r="C35" i="1"/>
  <c r="E35" i="1"/>
  <c r="C27" i="2"/>
  <c r="U78" i="2"/>
  <c r="V78" i="2" s="1"/>
  <c r="J28" i="2"/>
  <c r="H38" i="1" s="1"/>
  <c r="K26" i="2"/>
  <c r="N33" i="1"/>
  <c r="M104" i="1"/>
  <c r="N103" i="1"/>
  <c r="E80" i="2"/>
  <c r="F81" i="2"/>
  <c r="F108" i="1" s="1"/>
  <c r="G80" i="2"/>
  <c r="N34" i="1"/>
  <c r="F30" i="2"/>
  <c r="F40" i="1" s="1"/>
  <c r="E29" i="2"/>
  <c r="C36" i="2"/>
  <c r="M35" i="1"/>
  <c r="I29" i="2"/>
  <c r="G39" i="1" s="1"/>
  <c r="F31" i="2"/>
  <c r="F41" i="1" s="1"/>
  <c r="K27" i="2" l="1"/>
  <c r="L27" i="2" s="1"/>
  <c r="M27" i="2" s="1"/>
  <c r="N27" i="2" s="1"/>
  <c r="U27" i="2"/>
  <c r="V27" i="2" s="1"/>
  <c r="P27" i="2"/>
  <c r="Q27" i="2" s="1"/>
  <c r="R27" i="2" s="1"/>
  <c r="U28" i="2"/>
  <c r="V28" i="2" s="1"/>
  <c r="K28" i="2"/>
  <c r="L28" i="2" s="1"/>
  <c r="M28" i="2" s="1"/>
  <c r="N28" i="2" s="1"/>
  <c r="K79" i="2"/>
  <c r="L79" i="2" s="1"/>
  <c r="M79" i="2" s="1"/>
  <c r="N79" i="2" s="1"/>
  <c r="P79" i="2"/>
  <c r="Q79" i="2" s="1"/>
  <c r="R79" i="2" s="1"/>
  <c r="P28" i="2"/>
  <c r="Q28" i="2" s="1"/>
  <c r="R28" i="2" s="1"/>
  <c r="U79" i="2"/>
  <c r="V79" i="2" s="1"/>
  <c r="C106" i="1"/>
  <c r="E106" i="1" s="1"/>
  <c r="C81" i="2"/>
  <c r="C48" i="1"/>
  <c r="E48" i="1"/>
  <c r="I80" i="2"/>
  <c r="G106" i="1"/>
  <c r="L26" i="2"/>
  <c r="H36" i="1"/>
  <c r="E37" i="1"/>
  <c r="C37" i="1"/>
  <c r="C28" i="2"/>
  <c r="J29" i="2"/>
  <c r="U29" i="2" s="1"/>
  <c r="V29" i="2" s="1"/>
  <c r="M37" i="1"/>
  <c r="N104" i="1"/>
  <c r="M105" i="1"/>
  <c r="F82" i="2"/>
  <c r="F109" i="1" s="1"/>
  <c r="E81" i="2"/>
  <c r="G81" i="2"/>
  <c r="N35" i="1"/>
  <c r="C37" i="2"/>
  <c r="I30" i="2"/>
  <c r="G40" i="1" s="1"/>
  <c r="E30" i="2"/>
  <c r="I31" i="2"/>
  <c r="G41" i="1" s="1"/>
  <c r="F32" i="2"/>
  <c r="F43" i="1" s="1"/>
  <c r="C49" i="1" l="1"/>
  <c r="E49" i="1"/>
  <c r="I81" i="2"/>
  <c r="H108" i="1" s="1"/>
  <c r="G108" i="1"/>
  <c r="C38" i="1"/>
  <c r="E38" i="1"/>
  <c r="C29" i="2"/>
  <c r="M26" i="2"/>
  <c r="F36" i="1"/>
  <c r="O36" i="1" s="1"/>
  <c r="C108" i="1"/>
  <c r="E108" i="1" s="1"/>
  <c r="C82" i="2"/>
  <c r="K80" i="2"/>
  <c r="H106" i="1"/>
  <c r="N37" i="1"/>
  <c r="H39" i="1"/>
  <c r="J31" i="2"/>
  <c r="H41" i="1" s="1"/>
  <c r="M39" i="1"/>
  <c r="J30" i="2"/>
  <c r="H40" i="1" s="1"/>
  <c r="M38" i="1"/>
  <c r="P29" i="2"/>
  <c r="Q29" i="2" s="1"/>
  <c r="R29" i="2" s="1"/>
  <c r="K29" i="2"/>
  <c r="L29" i="2" s="1"/>
  <c r="M29" i="2" s="1"/>
  <c r="N29" i="2" s="1"/>
  <c r="M106" i="1"/>
  <c r="F83" i="2"/>
  <c r="F110" i="1" s="1"/>
  <c r="E82" i="2"/>
  <c r="G82" i="2"/>
  <c r="N105" i="1"/>
  <c r="F34" i="2"/>
  <c r="F45" i="1" s="1"/>
  <c r="E32" i="2"/>
  <c r="C38" i="2"/>
  <c r="P30" i="2"/>
  <c r="Q30" i="2" s="1"/>
  <c r="R30" i="2" s="1"/>
  <c r="F33" i="2"/>
  <c r="F44" i="1" s="1"/>
  <c r="I32" i="2"/>
  <c r="G43" i="1" s="1"/>
  <c r="U81" i="2" l="1"/>
  <c r="V81" i="2" s="1"/>
  <c r="I82" i="2"/>
  <c r="H109" i="1" s="1"/>
  <c r="G109" i="1"/>
  <c r="C109" i="1"/>
  <c r="E109" i="1" s="1"/>
  <c r="C83" i="2"/>
  <c r="C39" i="1"/>
  <c r="E39" i="1"/>
  <c r="C30" i="2"/>
  <c r="K81" i="2"/>
  <c r="L81" i="2" s="1"/>
  <c r="M81" i="2" s="1"/>
  <c r="N81" i="2" s="1"/>
  <c r="L80" i="2"/>
  <c r="H107" i="1"/>
  <c r="C50" i="1"/>
  <c r="E50" i="1"/>
  <c r="P81" i="2"/>
  <c r="Q81" i="2" s="1"/>
  <c r="R81" i="2" s="1"/>
  <c r="U30" i="2"/>
  <c r="V30" i="2" s="1"/>
  <c r="N38" i="1"/>
  <c r="N39" i="1"/>
  <c r="K30" i="2"/>
  <c r="L30" i="2" s="1"/>
  <c r="M30" i="2" s="1"/>
  <c r="N30" i="2" s="1"/>
  <c r="K31" i="2"/>
  <c r="J32" i="2"/>
  <c r="H43" i="1" s="1"/>
  <c r="M40" i="1"/>
  <c r="M41" i="1"/>
  <c r="E33" i="2"/>
  <c r="N106" i="1"/>
  <c r="F84" i="2"/>
  <c r="F111" i="1" s="1"/>
  <c r="G83" i="2"/>
  <c r="M108" i="1"/>
  <c r="C39" i="2"/>
  <c r="I34" i="2"/>
  <c r="E34" i="2"/>
  <c r="I33" i="2"/>
  <c r="G44" i="1" s="1"/>
  <c r="M44" i="1" s="1"/>
  <c r="F35" i="2"/>
  <c r="F46" i="1" s="1"/>
  <c r="U82" i="2" l="1"/>
  <c r="V82" i="2" s="1"/>
  <c r="K82" i="2"/>
  <c r="L82" i="2" s="1"/>
  <c r="M82" i="2" s="1"/>
  <c r="N82" i="2" s="1"/>
  <c r="P82" i="2"/>
  <c r="Q82" i="2" s="1"/>
  <c r="R82" i="2" s="1"/>
  <c r="K32" i="2"/>
  <c r="L32" i="2" s="1"/>
  <c r="M32" i="2" s="1"/>
  <c r="N32" i="2" s="1"/>
  <c r="P32" i="2"/>
  <c r="Q32" i="2" s="1"/>
  <c r="R32" i="2" s="1"/>
  <c r="C40" i="1"/>
  <c r="E40" i="1"/>
  <c r="C31" i="2"/>
  <c r="J34" i="2"/>
  <c r="G45" i="1"/>
  <c r="L31" i="2"/>
  <c r="F42" i="1" s="1"/>
  <c r="H42" i="1"/>
  <c r="C110" i="1"/>
  <c r="E110" i="1" s="1"/>
  <c r="C84" i="2"/>
  <c r="I83" i="2"/>
  <c r="H110" i="1" s="1"/>
  <c r="G110" i="1"/>
  <c r="C51" i="1"/>
  <c r="E51" i="1"/>
  <c r="M80" i="2"/>
  <c r="F107" i="1"/>
  <c r="N40" i="1"/>
  <c r="N41" i="1"/>
  <c r="U32" i="2"/>
  <c r="V32" i="2" s="1"/>
  <c r="J33" i="2"/>
  <c r="H44" i="1" s="1"/>
  <c r="N44" i="1" s="1"/>
  <c r="M43" i="1"/>
  <c r="N108" i="1"/>
  <c r="E84" i="2"/>
  <c r="F85" i="2"/>
  <c r="F112" i="1" s="1"/>
  <c r="G84" i="2"/>
  <c r="M109" i="1"/>
  <c r="F36" i="2"/>
  <c r="F37" i="2"/>
  <c r="C40" i="2"/>
  <c r="I35" i="2"/>
  <c r="U83" i="2" l="1"/>
  <c r="V83" i="2" s="1"/>
  <c r="U31" i="2"/>
  <c r="V31" i="2" s="1"/>
  <c r="M31" i="2"/>
  <c r="N31" i="2" s="1"/>
  <c r="P83" i="2"/>
  <c r="Q83" i="2" s="1"/>
  <c r="R83" i="2" s="1"/>
  <c r="J35" i="2"/>
  <c r="G46" i="1"/>
  <c r="M46" i="1" s="1"/>
  <c r="C53" i="1"/>
  <c r="E53" i="1"/>
  <c r="I84" i="2"/>
  <c r="H111" i="1" s="1"/>
  <c r="G111" i="1"/>
  <c r="U34" i="2"/>
  <c r="V34" i="2" s="1"/>
  <c r="H45" i="1"/>
  <c r="N45" i="1" s="1"/>
  <c r="C41" i="1"/>
  <c r="E41" i="1"/>
  <c r="C32" i="2"/>
  <c r="K34" i="2"/>
  <c r="L34" i="2" s="1"/>
  <c r="M34" i="2" s="1"/>
  <c r="N34" i="2" s="1"/>
  <c r="E37" i="2"/>
  <c r="F49" i="1"/>
  <c r="P34" i="2"/>
  <c r="Q34" i="2" s="1"/>
  <c r="R34" i="2" s="1"/>
  <c r="K83" i="2"/>
  <c r="L83" i="2" s="1"/>
  <c r="M83" i="2" s="1"/>
  <c r="N83" i="2" s="1"/>
  <c r="E36" i="2"/>
  <c r="F48" i="1"/>
  <c r="P31" i="2"/>
  <c r="Q31" i="2" s="1"/>
  <c r="R31" i="2" s="1"/>
  <c r="C111" i="1"/>
  <c r="E111" i="1" s="1"/>
  <c r="C85" i="2"/>
  <c r="N43" i="1"/>
  <c r="K33" i="2"/>
  <c r="L33" i="2" s="1"/>
  <c r="M33" i="2" s="1"/>
  <c r="N33" i="2" s="1"/>
  <c r="U33" i="2"/>
  <c r="V33" i="2" s="1"/>
  <c r="P33" i="2"/>
  <c r="Q33" i="2" s="1"/>
  <c r="R33" i="2" s="1"/>
  <c r="F86" i="2"/>
  <c r="F114" i="1" s="1"/>
  <c r="E85" i="2"/>
  <c r="G85" i="2"/>
  <c r="I36" i="2"/>
  <c r="M45" i="1"/>
  <c r="M110" i="1"/>
  <c r="N109" i="1"/>
  <c r="O107" i="1"/>
  <c r="C41" i="2"/>
  <c r="I37" i="2"/>
  <c r="F38" i="2"/>
  <c r="F50" i="1" s="1"/>
  <c r="K84" i="2" l="1"/>
  <c r="L84" i="2" s="1"/>
  <c r="M84" i="2" s="1"/>
  <c r="N84" i="2" s="1"/>
  <c r="P84" i="2"/>
  <c r="Q84" i="2" s="1"/>
  <c r="R84" i="2" s="1"/>
  <c r="U84" i="2"/>
  <c r="V84" i="2" s="1"/>
  <c r="I85" i="2"/>
  <c r="G112" i="1"/>
  <c r="J37" i="2"/>
  <c r="H49" i="1" s="1"/>
  <c r="G49" i="1"/>
  <c r="M49" i="1" s="1"/>
  <c r="J36" i="2"/>
  <c r="P36" i="2" s="1"/>
  <c r="Q36" i="2" s="1"/>
  <c r="R36" i="2" s="1"/>
  <c r="G48" i="1"/>
  <c r="M48" i="1" s="1"/>
  <c r="C54" i="1"/>
  <c r="E54" i="1"/>
  <c r="C43" i="1"/>
  <c r="E43" i="1"/>
  <c r="C112" i="1"/>
  <c r="E112" i="1" s="1"/>
  <c r="C86" i="2"/>
  <c r="K35" i="2"/>
  <c r="L35" i="2" s="1"/>
  <c r="P35" i="2" s="1"/>
  <c r="H46" i="1"/>
  <c r="N46" i="1" s="1"/>
  <c r="M111" i="1"/>
  <c r="F87" i="2"/>
  <c r="F115" i="1" s="1"/>
  <c r="F88" i="2"/>
  <c r="F116" i="1" s="1"/>
  <c r="E86" i="2"/>
  <c r="G86" i="2"/>
  <c r="N110" i="1"/>
  <c r="O42" i="1"/>
  <c r="C42" i="2"/>
  <c r="I38" i="2"/>
  <c r="F39" i="2"/>
  <c r="F51" i="1" s="1"/>
  <c r="K37" i="2" l="1"/>
  <c r="L37" i="2" s="1"/>
  <c r="M37" i="2" s="1"/>
  <c r="N37" i="2" s="1"/>
  <c r="U37" i="2"/>
  <c r="V37" i="2" s="1"/>
  <c r="U36" i="2"/>
  <c r="V36" i="2" s="1"/>
  <c r="C114" i="1"/>
  <c r="E114" i="1" s="1"/>
  <c r="C87" i="2"/>
  <c r="J38" i="2"/>
  <c r="H50" i="1" s="1"/>
  <c r="G50" i="1"/>
  <c r="M50" i="1" s="1"/>
  <c r="P37" i="2"/>
  <c r="Q37" i="2" s="1"/>
  <c r="R37" i="2" s="1"/>
  <c r="C55" i="1"/>
  <c r="E55" i="1"/>
  <c r="I86" i="2"/>
  <c r="H114" i="1" s="1"/>
  <c r="G114" i="1"/>
  <c r="M35" i="2"/>
  <c r="N35" i="2" s="1"/>
  <c r="Q35" i="2"/>
  <c r="R35" i="2" s="1"/>
  <c r="U35" i="2"/>
  <c r="V35" i="2" s="1"/>
  <c r="H48" i="1"/>
  <c r="N48" i="1" s="1"/>
  <c r="K36" i="2"/>
  <c r="K85" i="2"/>
  <c r="H112" i="1"/>
  <c r="M112" i="1"/>
  <c r="N111" i="1"/>
  <c r="F89" i="2"/>
  <c r="F118" i="1" s="1"/>
  <c r="G88" i="2"/>
  <c r="E87" i="2"/>
  <c r="G87" i="2"/>
  <c r="N49" i="1"/>
  <c r="F44" i="2"/>
  <c r="C44" i="2" s="1"/>
  <c r="I39" i="2"/>
  <c r="F40" i="2"/>
  <c r="F53" i="1" s="1"/>
  <c r="U38" i="2" l="1"/>
  <c r="V38" i="2" s="1"/>
  <c r="P38" i="2"/>
  <c r="Q38" i="2" s="1"/>
  <c r="R38" i="2" s="1"/>
  <c r="J39" i="2"/>
  <c r="G51" i="1"/>
  <c r="M51" i="1" s="1"/>
  <c r="L85" i="2"/>
  <c r="H113" i="1"/>
  <c r="P86" i="2"/>
  <c r="Q86" i="2" s="1"/>
  <c r="R86" i="2" s="1"/>
  <c r="K86" i="2"/>
  <c r="L86" i="2" s="1"/>
  <c r="M86" i="2" s="1"/>
  <c r="N86" i="2" s="1"/>
  <c r="I88" i="2"/>
  <c r="G116" i="1"/>
  <c r="L36" i="2"/>
  <c r="H47" i="1"/>
  <c r="C115" i="1"/>
  <c r="E115" i="1" s="1"/>
  <c r="C88" i="2"/>
  <c r="K38" i="2"/>
  <c r="L38" i="2" s="1"/>
  <c r="M38" i="2" s="1"/>
  <c r="N38" i="2" s="1"/>
  <c r="I87" i="2"/>
  <c r="H115" i="1" s="1"/>
  <c r="G115" i="1"/>
  <c r="U86" i="2"/>
  <c r="V86" i="2" s="1"/>
  <c r="N112" i="1"/>
  <c r="M114" i="1"/>
  <c r="F90" i="2"/>
  <c r="F120" i="1" s="1"/>
  <c r="G89" i="2"/>
  <c r="N50" i="1"/>
  <c r="K108" i="2"/>
  <c r="G44" i="2"/>
  <c r="H44" i="2" s="1"/>
  <c r="I40" i="2"/>
  <c r="F41" i="2"/>
  <c r="F54" i="1" s="1"/>
  <c r="K87" i="2" l="1"/>
  <c r="L87" i="2" s="1"/>
  <c r="M87" i="2" s="1"/>
  <c r="N87" i="2" s="1"/>
  <c r="P87" i="2"/>
  <c r="Q87" i="2" s="1"/>
  <c r="R87" i="2" s="1"/>
  <c r="U87" i="2"/>
  <c r="V87" i="2" s="1"/>
  <c r="K88" i="2"/>
  <c r="H116" i="1"/>
  <c r="C116" i="1"/>
  <c r="E116" i="1" s="1"/>
  <c r="C89" i="2"/>
  <c r="M85" i="2"/>
  <c r="F113" i="1"/>
  <c r="J40" i="2"/>
  <c r="H53" i="1" s="1"/>
  <c r="G53" i="1"/>
  <c r="M53" i="1" s="1"/>
  <c r="I89" i="2"/>
  <c r="G118" i="1"/>
  <c r="M36" i="2"/>
  <c r="N36" i="2" s="1"/>
  <c r="F47" i="1"/>
  <c r="O47" i="1" s="1"/>
  <c r="K39" i="2"/>
  <c r="H51" i="1"/>
  <c r="N51" i="1" s="1"/>
  <c r="M115" i="1"/>
  <c r="F91" i="2"/>
  <c r="F121" i="1" s="1"/>
  <c r="G90" i="2"/>
  <c r="M116" i="1"/>
  <c r="N114" i="1"/>
  <c r="I41" i="2"/>
  <c r="F42" i="2"/>
  <c r="F55" i="1" s="1"/>
  <c r="J41" i="2" l="1"/>
  <c r="H54" i="1" s="1"/>
  <c r="G54" i="1"/>
  <c r="M54" i="1" s="1"/>
  <c r="C118" i="1"/>
  <c r="E118" i="1" s="1"/>
  <c r="C90" i="2"/>
  <c r="N53" i="1"/>
  <c r="K40" i="2"/>
  <c r="L40" i="2" s="1"/>
  <c r="M40" i="2" s="1"/>
  <c r="N40" i="2" s="1"/>
  <c r="U40" i="2"/>
  <c r="V40" i="2" s="1"/>
  <c r="P40" i="2"/>
  <c r="Q40" i="2" s="1"/>
  <c r="R40" i="2" s="1"/>
  <c r="I90" i="2"/>
  <c r="H120" i="1" s="1"/>
  <c r="G120" i="1"/>
  <c r="L39" i="2"/>
  <c r="H52" i="1"/>
  <c r="K89" i="2"/>
  <c r="H118" i="1"/>
  <c r="L88" i="2"/>
  <c r="H117" i="1"/>
  <c r="N115" i="1"/>
  <c r="M118" i="1"/>
  <c r="N116" i="1"/>
  <c r="F92" i="2"/>
  <c r="F123" i="1" s="1"/>
  <c r="G91" i="2"/>
  <c r="O113" i="1"/>
  <c r="I42" i="2"/>
  <c r="U41" i="2" l="1"/>
  <c r="V41" i="2" s="1"/>
  <c r="P90" i="2"/>
  <c r="Q90" i="2" s="1"/>
  <c r="R90" i="2" s="1"/>
  <c r="K41" i="2"/>
  <c r="L41" i="2" s="1"/>
  <c r="M41" i="2" s="1"/>
  <c r="N41" i="2" s="1"/>
  <c r="P41" i="2"/>
  <c r="Q41" i="2" s="1"/>
  <c r="R41" i="2" s="1"/>
  <c r="U90" i="2"/>
  <c r="V90" i="2" s="1"/>
  <c r="K90" i="2"/>
  <c r="L90" i="2" s="1"/>
  <c r="M90" i="2" s="1"/>
  <c r="N90" i="2" s="1"/>
  <c r="J42" i="2"/>
  <c r="P42" i="2" s="1"/>
  <c r="Q42" i="2" s="1"/>
  <c r="G55" i="1"/>
  <c r="I91" i="2"/>
  <c r="G121" i="1"/>
  <c r="M39" i="2"/>
  <c r="N39" i="2" s="1"/>
  <c r="F52" i="1"/>
  <c r="O52" i="1" s="1"/>
  <c r="C120" i="1"/>
  <c r="E120" i="1" s="1"/>
  <c r="C91" i="2"/>
  <c r="M88" i="2"/>
  <c r="N88" i="2" s="1"/>
  <c r="F117" i="1"/>
  <c r="L89" i="2"/>
  <c r="H119" i="1"/>
  <c r="F93" i="2"/>
  <c r="F124" i="1" s="1"/>
  <c r="G92" i="2"/>
  <c r="M120" i="1"/>
  <c r="N118" i="1"/>
  <c r="N54" i="1"/>
  <c r="K42" i="2" l="1"/>
  <c r="L42" i="2" s="1"/>
  <c r="M42" i="2" s="1"/>
  <c r="N42" i="2" s="1"/>
  <c r="C121" i="1"/>
  <c r="E121" i="1" s="1"/>
  <c r="C92" i="2"/>
  <c r="I92" i="2"/>
  <c r="H123" i="1" s="1"/>
  <c r="G123" i="1"/>
  <c r="M89" i="2"/>
  <c r="N89" i="2" s="1"/>
  <c r="F119" i="1"/>
  <c r="K91" i="2"/>
  <c r="H121" i="1"/>
  <c r="U39" i="2"/>
  <c r="V39" i="2" s="1"/>
  <c r="Q39" i="2"/>
  <c r="R39" i="2" s="1"/>
  <c r="Q52" i="2"/>
  <c r="U42" i="2"/>
  <c r="V42" i="2" s="1"/>
  <c r="H55" i="1"/>
  <c r="N55" i="1" s="1"/>
  <c r="M121" i="1"/>
  <c r="N120" i="1"/>
  <c r="O117" i="1"/>
  <c r="F94" i="2"/>
  <c r="F125" i="1" s="1"/>
  <c r="G93" i="2"/>
  <c r="R42" i="2"/>
  <c r="M55" i="1"/>
  <c r="R44" i="2" l="1"/>
  <c r="R45" i="2" s="1"/>
  <c r="U92" i="2"/>
  <c r="V92" i="2" s="1"/>
  <c r="P92" i="2"/>
  <c r="Q92" i="2" s="1"/>
  <c r="R92" i="2" s="1"/>
  <c r="L91" i="2"/>
  <c r="H122" i="1"/>
  <c r="C123" i="1"/>
  <c r="E123" i="1" s="1"/>
  <c r="C93" i="2"/>
  <c r="I93" i="2"/>
  <c r="H124" i="1" s="1"/>
  <c r="G124" i="1"/>
  <c r="R52" i="2"/>
  <c r="R54" i="2" s="1"/>
  <c r="R55" i="2" s="1"/>
  <c r="D54" i="2"/>
  <c r="K92" i="2"/>
  <c r="L92" i="2" s="1"/>
  <c r="M92" i="2" s="1"/>
  <c r="N92" i="2" s="1"/>
  <c r="V44" i="2"/>
  <c r="W44" i="2" s="1"/>
  <c r="O119" i="1"/>
  <c r="M123" i="1"/>
  <c r="P93" i="2"/>
  <c r="Q93" i="2" s="1"/>
  <c r="R93" i="2" s="1"/>
  <c r="F95" i="2"/>
  <c r="F126" i="1" s="1"/>
  <c r="G94" i="2"/>
  <c r="N121" i="1"/>
  <c r="U93" i="2" l="1"/>
  <c r="V93" i="2" s="1"/>
  <c r="K93" i="2"/>
  <c r="L93" i="2" s="1"/>
  <c r="M93" i="2" s="1"/>
  <c r="N93" i="2" s="1"/>
  <c r="C124" i="1"/>
  <c r="E124" i="1" s="1"/>
  <c r="C94" i="2"/>
  <c r="I94" i="2"/>
  <c r="H125" i="1" s="1"/>
  <c r="G125" i="1"/>
  <c r="M91" i="2"/>
  <c r="N91" i="2" s="1"/>
  <c r="F122" i="1"/>
  <c r="N123" i="1"/>
  <c r="G95" i="2"/>
  <c r="F96" i="2"/>
  <c r="F127" i="1" s="1"/>
  <c r="M124" i="1"/>
  <c r="K94" i="2" l="1"/>
  <c r="L94" i="2" s="1"/>
  <c r="M94" i="2" s="1"/>
  <c r="N94" i="2" s="1"/>
  <c r="I95" i="2"/>
  <c r="G126" i="1"/>
  <c r="U94" i="2"/>
  <c r="V94" i="2" s="1"/>
  <c r="C125" i="1"/>
  <c r="E125" i="1" s="1"/>
  <c r="C95" i="2"/>
  <c r="P94" i="2"/>
  <c r="Q94" i="2" s="1"/>
  <c r="R94" i="2" s="1"/>
  <c r="M125" i="1"/>
  <c r="N124" i="1"/>
  <c r="O122" i="1"/>
  <c r="G96" i="2"/>
  <c r="F97" i="2"/>
  <c r="F98" i="2" l="1"/>
  <c r="F130" i="1" s="1"/>
  <c r="F129" i="1"/>
  <c r="I96" i="2"/>
  <c r="G127" i="1"/>
  <c r="C126" i="1"/>
  <c r="E126" i="1" s="1"/>
  <c r="C96" i="2"/>
  <c r="K95" i="2"/>
  <c r="L95" i="2" s="1"/>
  <c r="M95" i="2" s="1"/>
  <c r="N95" i="2" s="1"/>
  <c r="H126" i="1"/>
  <c r="G98" i="2"/>
  <c r="M126" i="1"/>
  <c r="G97" i="2"/>
  <c r="N125" i="1"/>
  <c r="F99" i="2" l="1"/>
  <c r="F131" i="1" s="1"/>
  <c r="I97" i="2"/>
  <c r="H129" i="1" s="1"/>
  <c r="G129" i="1"/>
  <c r="I98" i="2"/>
  <c r="H130" i="1" s="1"/>
  <c r="G130" i="1"/>
  <c r="K96" i="2"/>
  <c r="H127" i="1"/>
  <c r="C127" i="1"/>
  <c r="E127" i="1" s="1"/>
  <c r="C97" i="2"/>
  <c r="P97" i="2"/>
  <c r="Q97" i="2" s="1"/>
  <c r="R97" i="2" s="1"/>
  <c r="N126" i="1"/>
  <c r="M127" i="1"/>
  <c r="K97" i="2" l="1"/>
  <c r="L97" i="2" s="1"/>
  <c r="M97" i="2" s="1"/>
  <c r="N97" i="2" s="1"/>
  <c r="U97" i="2"/>
  <c r="V97" i="2" s="1"/>
  <c r="K98" i="2"/>
  <c r="L98" i="2" s="1"/>
  <c r="M98" i="2" s="1"/>
  <c r="N98" i="2" s="1"/>
  <c r="C98" i="2"/>
  <c r="C129" i="1"/>
  <c r="E129" i="1" s="1"/>
  <c r="P98" i="2"/>
  <c r="Q98" i="2" s="1"/>
  <c r="R98" i="2" s="1"/>
  <c r="L96" i="2"/>
  <c r="H128" i="1"/>
  <c r="G99" i="2"/>
  <c r="N127" i="1"/>
  <c r="M129" i="1"/>
  <c r="U98" i="2"/>
  <c r="V98" i="2" s="1"/>
  <c r="F128" i="1" l="1"/>
  <c r="U96" i="2"/>
  <c r="V96" i="2" s="1"/>
  <c r="M96" i="2"/>
  <c r="N96" i="2" s="1"/>
  <c r="P96" i="2"/>
  <c r="Q96" i="2" s="1"/>
  <c r="R96" i="2" s="1"/>
  <c r="I99" i="2"/>
  <c r="H131" i="1" s="1"/>
  <c r="G131" i="1"/>
  <c r="C130" i="1"/>
  <c r="E130" i="1" s="1"/>
  <c r="C99" i="2"/>
  <c r="C131" i="1" s="1"/>
  <c r="E131" i="1" s="1"/>
  <c r="M130" i="1"/>
  <c r="N129" i="1"/>
  <c r="K99" i="2" l="1"/>
  <c r="L99" i="2" s="1"/>
  <c r="M99" i="2" s="1"/>
  <c r="N99" i="2" s="1"/>
  <c r="P99" i="2"/>
  <c r="Q99" i="2" s="1"/>
  <c r="R99" i="2" s="1"/>
  <c r="R102" i="2" s="1"/>
  <c r="R103" i="2" s="1"/>
  <c r="U99" i="2"/>
  <c r="V99" i="2" s="1"/>
  <c r="V102" i="2" s="1"/>
  <c r="V108" i="2" s="1"/>
  <c r="V114" i="2" s="1"/>
  <c r="F102" i="2"/>
  <c r="G102" i="2" s="1"/>
  <c r="H102" i="2" s="1"/>
  <c r="M131" i="1"/>
  <c r="O128" i="1"/>
  <c r="N130" i="1"/>
  <c r="R108" i="2" l="1"/>
  <c r="R114" i="2" s="1"/>
  <c r="L108" i="2"/>
  <c r="W102" i="2"/>
  <c r="N131" i="1"/>
  <c r="M109" i="2" l="1"/>
  <c r="R111" i="2"/>
  <c r="U114" i="2" s="1"/>
  <c r="U111" i="2"/>
  <c r="G136" i="2"/>
  <c r="C136" i="2"/>
  <c r="F136" i="2"/>
  <c r="E136" i="2"/>
  <c r="D136" i="2"/>
  <c r="R115" i="2"/>
  <c r="R120" i="2" s="1"/>
  <c r="F140" i="2" l="1"/>
  <c r="F145" i="2" s="1"/>
  <c r="F139" i="2"/>
  <c r="F141" i="2" s="1"/>
  <c r="F146" i="2" s="1"/>
  <c r="C140" i="2"/>
  <c r="C145" i="2" s="1"/>
  <c r="C139" i="2"/>
  <c r="C141" i="2" s="1"/>
  <c r="C146" i="2" s="1"/>
  <c r="D140" i="2"/>
  <c r="D145" i="2" s="1"/>
  <c r="D139" i="2"/>
  <c r="D141" i="2" s="1"/>
  <c r="D146" i="2" s="1"/>
  <c r="D150" i="2" s="1"/>
  <c r="G140" i="2"/>
  <c r="G145" i="2" s="1"/>
  <c r="G139" i="2"/>
  <c r="G141" i="2" s="1"/>
  <c r="G146" i="2" s="1"/>
  <c r="E140" i="2"/>
  <c r="E145" i="2" s="1"/>
  <c r="E139" i="2"/>
  <c r="E141" i="2" s="1"/>
  <c r="E146" i="2" s="1"/>
  <c r="E150" i="2" s="1"/>
  <c r="R123" i="2"/>
  <c r="R126" i="2"/>
  <c r="C150" i="2" l="1"/>
  <c r="C158" i="2" s="1"/>
  <c r="C160" i="2" s="1"/>
  <c r="D156" i="2"/>
  <c r="D158" i="2"/>
  <c r="D160" i="2" s="1"/>
  <c r="F150" i="2"/>
  <c r="E158" i="2"/>
  <c r="E160" i="2" s="1"/>
  <c r="E156" i="2"/>
  <c r="G150" i="2"/>
  <c r="C156" i="2" l="1"/>
  <c r="G158" i="2"/>
  <c r="G160" i="2" s="1"/>
  <c r="G156" i="2"/>
  <c r="F158" i="2"/>
  <c r="F160" i="2" s="1"/>
  <c r="F156" i="2"/>
  <c r="H160" i="2" l="1"/>
</calcChain>
</file>

<file path=xl/comments1.xml><?xml version="1.0" encoding="utf-8"?>
<comments xmlns="http://schemas.openxmlformats.org/spreadsheetml/2006/main">
  <authors>
    <author>Cherrington, Linda</author>
    <author>Maldonado, Yvette</author>
  </authors>
  <commentList>
    <comment ref="N19" authorId="0" shapeId="0">
      <text>
        <r>
          <rPr>
            <b/>
            <sz val="9"/>
            <color indexed="81"/>
            <rFont val="Tahoma"/>
            <family val="2"/>
          </rPr>
          <t>Cherrington, Linda:</t>
        </r>
        <r>
          <rPr>
            <sz val="9"/>
            <color indexed="81"/>
            <rFont val="Tahoma"/>
            <family val="2"/>
          </rPr>
          <t xml:space="preserve">
Slack adjusted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Cherrington, Linda:</t>
        </r>
        <r>
          <rPr>
            <sz val="9"/>
            <color indexed="81"/>
            <rFont val="Tahoma"/>
            <family val="2"/>
          </rPr>
          <t xml:space="preserve">
Slack adjusted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</rPr>
          <t>Cherrington, Linda:</t>
        </r>
        <r>
          <rPr>
            <sz val="9"/>
            <color indexed="81"/>
            <rFont val="Tahoma"/>
            <family val="2"/>
          </rPr>
          <t xml:space="preserve">
Slack adjusted
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</rPr>
          <t>Cherrington, Linda:</t>
        </r>
        <r>
          <rPr>
            <sz val="9"/>
            <color indexed="81"/>
            <rFont val="Tahoma"/>
            <family val="2"/>
          </rPr>
          <t xml:space="preserve">
Slack adjusted
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</rPr>
          <t>Cherrington, Linda:</t>
        </r>
        <r>
          <rPr>
            <sz val="9"/>
            <color indexed="81"/>
            <rFont val="Tahoma"/>
            <family val="2"/>
          </rPr>
          <t xml:space="preserve">
Slack adjusted</t>
        </r>
      </text>
    </comment>
    <comment ref="D133" authorId="1" shapeId="0">
      <text>
        <r>
          <rPr>
            <b/>
            <sz val="9"/>
            <color indexed="81"/>
            <rFont val="Tahoma"/>
            <charset val="1"/>
          </rPr>
          <t>Maldonado, Yvette:</t>
        </r>
        <r>
          <rPr>
            <sz val="9"/>
            <color indexed="81"/>
            <rFont val="Tahoma"/>
            <charset val="1"/>
          </rPr>
          <t xml:space="preserve">
6 months for Vehicle Delivery
3 months for Titling, License, and Bus Wraps</t>
        </r>
      </text>
    </comment>
  </commentList>
</comments>
</file>

<file path=xl/sharedStrings.xml><?xml version="1.0" encoding="utf-8"?>
<sst xmlns="http://schemas.openxmlformats.org/spreadsheetml/2006/main" count="300" uniqueCount="131">
  <si>
    <t>Bus Block</t>
  </si>
  <si>
    <t>Passenger Load</t>
  </si>
  <si>
    <t>Bus Trip No.</t>
  </si>
  <si>
    <t>Time Depart Lot</t>
  </si>
  <si>
    <t>Frequency</t>
  </si>
  <si>
    <t>Time CBD Stop First</t>
  </si>
  <si>
    <t>Time CBD Stop Last</t>
  </si>
  <si>
    <t>Time for Turn Around</t>
  </si>
  <si>
    <t>Return Travel Time</t>
  </si>
  <si>
    <t>Slack</t>
  </si>
  <si>
    <t>Ready Next Trip</t>
  </si>
  <si>
    <t>Hours</t>
  </si>
  <si>
    <t>Hours in Decimals</t>
  </si>
  <si>
    <t>AM</t>
  </si>
  <si>
    <t>IB Passengers</t>
  </si>
  <si>
    <t>Buses</t>
  </si>
  <si>
    <t>IB Trips</t>
  </si>
  <si>
    <t>Avg Pass/Trip</t>
  </si>
  <si>
    <t>OB Trips</t>
  </si>
  <si>
    <t>Fare Revenue</t>
  </si>
  <si>
    <t>Midday</t>
  </si>
  <si>
    <t>Passengers</t>
  </si>
  <si>
    <t>Time Arrive Lot</t>
  </si>
  <si>
    <t>Time to Unload</t>
  </si>
  <si>
    <t>PM</t>
  </si>
  <si>
    <t>OB Passengers</t>
  </si>
  <si>
    <t>Daily</t>
  </si>
  <si>
    <t>Total Annual Fare Revenues</t>
  </si>
  <si>
    <t>MIDDAY</t>
  </si>
  <si>
    <t>Avg fare</t>
  </si>
  <si>
    <t>CBD Stop First</t>
  </si>
  <si>
    <t>CBD Stop Last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</si>
  <si>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</si>
  <si>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</si>
  <si>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</si>
  <si>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</si>
  <si>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</si>
  <si>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</si>
  <si>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</si>
  <si>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</si>
  <si>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</si>
  <si>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</si>
  <si>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</si>
  <si>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</si>
  <si>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Trip #</t>
  </si>
  <si>
    <t>R13</t>
  </si>
  <si>
    <t>R14</t>
  </si>
  <si>
    <t>R15</t>
  </si>
  <si>
    <t>AM PEAK PERIOD</t>
  </si>
  <si>
    <t>Bus Trip #</t>
  </si>
  <si>
    <t>Rev Bus Trip #</t>
  </si>
  <si>
    <t>To Midday</t>
  </si>
  <si>
    <t>PM PEAK PERIOD</t>
  </si>
  <si>
    <t>Out of Service</t>
  </si>
  <si>
    <t>R16</t>
  </si>
  <si>
    <t>Average Passenger Load</t>
  </si>
  <si>
    <t>Annual Operations Cost = Daily Cost X 254</t>
  </si>
  <si>
    <t>Return Bus Trip No.</t>
  </si>
  <si>
    <t>PEAK</t>
  </si>
  <si>
    <t>Summary</t>
  </si>
  <si>
    <t>SUMMARY</t>
  </si>
  <si>
    <t>Annual</t>
  </si>
  <si>
    <t>Daily with Fare Discount x 254 weekdays</t>
  </si>
  <si>
    <t>IB = Inbound (Fort Bend County to Central Houston)</t>
  </si>
  <si>
    <t>OB = Outbound (Central Houston to Fort Bend County)</t>
  </si>
  <si>
    <t>Total Daily Passenger Boardings</t>
  </si>
  <si>
    <t>Passenger Boardings and Fare Revenues</t>
  </si>
  <si>
    <t>Daily Passenger Boardings</t>
  </si>
  <si>
    <t>PM Passenger Boardings</t>
  </si>
  <si>
    <t>AM Passenger Boardings Inbound</t>
  </si>
  <si>
    <t>Midday Passenger Boardings Inbound</t>
  </si>
  <si>
    <t>Max</t>
  </si>
  <si>
    <t>Out f Service</t>
  </si>
  <si>
    <t>Option 4 Fort Bend Park &amp; Ride (Operated by Fort Bend County Public Transportation)</t>
  </si>
  <si>
    <t>Option 4 Fort Bend Park &amp; Ride (Operated by FBC Public Transportation)</t>
  </si>
  <si>
    <t>Outbound from Central Houston</t>
  </si>
  <si>
    <t>Inbound from FBC</t>
  </si>
  <si>
    <t>P&amp;R Lot in FBC</t>
  </si>
  <si>
    <t>Time From First Transit</t>
  </si>
  <si>
    <t>Time Return First Transit</t>
  </si>
  <si>
    <t>Assume 75% purchase Fare Discount 10%</t>
  </si>
  <si>
    <t>Daily Fares at $4.00 X Daily Passengers</t>
  </si>
  <si>
    <t>Marketing</t>
  </si>
  <si>
    <t>Year 2</t>
  </si>
  <si>
    <t>Year 3</t>
  </si>
  <si>
    <t>Year 4</t>
  </si>
  <si>
    <t>Service</t>
  </si>
  <si>
    <t>Fort Bend service Hours and Costs</t>
  </si>
  <si>
    <t>Avg daily service hours/bus</t>
  </si>
  <si>
    <t>Daily Operations Cost/ServiceHr</t>
  </si>
  <si>
    <t>Service Hrs</t>
  </si>
  <si>
    <t>Total Daily Service Hours</t>
  </si>
  <si>
    <t>Peak Buses</t>
  </si>
  <si>
    <t>Annual Service Hours</t>
  </si>
  <si>
    <t>Marketing /REVENUE Hour</t>
  </si>
  <si>
    <t>Total Annual Operations Cost (includes Vehicle Capital Cost/Maintenance) + Supervision &amp; Marketing</t>
  </si>
  <si>
    <t>Fares</t>
  </si>
  <si>
    <t>Difference Cost less Fares</t>
  </si>
  <si>
    <t>Projected Daily Passengers</t>
  </si>
  <si>
    <t>Fare Recovery</t>
  </si>
  <si>
    <t>Avg Fare</t>
  </si>
  <si>
    <t>Revenue Hours</t>
  </si>
  <si>
    <t>Revenue Hours in Decimals</t>
  </si>
  <si>
    <t>FTE</t>
  </si>
  <si>
    <t>Annual Salary and Benefits per FBC FTE</t>
  </si>
  <si>
    <t>Crosschecks</t>
  </si>
  <si>
    <t>Daily Passengers</t>
  </si>
  <si>
    <t>Total Cost</t>
  </si>
  <si>
    <t>Less: Fares</t>
  </si>
  <si>
    <t>Annual Passengers</t>
  </si>
  <si>
    <t>Fare Revenue @</t>
  </si>
  <si>
    <t>Daily Operations Cost/Service Hr.</t>
  </si>
  <si>
    <t>Hourly Service Rate</t>
  </si>
  <si>
    <t>Annual Operating Costs</t>
  </si>
  <si>
    <t>Parking Lot Lease</t>
  </si>
  <si>
    <t>Year 5</t>
  </si>
  <si>
    <t>Five Year Financial Projections</t>
  </si>
  <si>
    <t>Vehicle Orders</t>
  </si>
  <si>
    <t>Vehicles Ready</t>
  </si>
  <si>
    <t>Service Start</t>
  </si>
  <si>
    <t>Project Timeline</t>
  </si>
  <si>
    <t>Annual Operating Cost</t>
  </si>
  <si>
    <t>Net Expenditures</t>
  </si>
  <si>
    <t>Total Gross Expenses</t>
  </si>
  <si>
    <t>---</t>
  </si>
  <si>
    <t>2018 H-GAC Call for Projects</t>
  </si>
  <si>
    <t>10/2020</t>
  </si>
  <si>
    <t>7/2021</t>
  </si>
  <si>
    <t>Year 1*</t>
  </si>
  <si>
    <t>TOTAL</t>
  </si>
  <si>
    <t>Rolling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</si>
</sst>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_(* #,##0_);_(* \(#,##0\);_(* &quot;-&quot;??_);_(@_)"/>
    <numFmt numFmtId="167" formatCode="&quot;$&quot;#,##0.00"/>
    <numFmt numFmtId="168" formatCode="h: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1" fillId="0" borderId="0"/>
  </cellStyleXfs>
  <cellXfs count="172">
    <xf numFmtId="0" fontId="0" fillId="0" borderId="0" xfId="0"/>
    <xf numFmtId="0" fontId="2" fillId="0" borderId="0" xfId="0" applyFont="1"/>
    <xf numFmtId="20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20" fontId="4" fillId="2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164" fontId="2" fillId="0" borderId="0" xfId="0" applyNumberFormat="1" applyFont="1" applyBorder="1"/>
    <xf numFmtId="0" fontId="2" fillId="0" borderId="2" xfId="0" applyFont="1" applyBorder="1"/>
    <xf numFmtId="165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165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5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66" fontId="0" fillId="0" borderId="0" xfId="1" applyNumberFormat="1" applyFont="1"/>
    <xf numFmtId="164" fontId="0" fillId="0" borderId="0" xfId="0" applyNumberFormat="1"/>
    <xf numFmtId="165" fontId="6" fillId="0" borderId="0" xfId="0" applyNumberFormat="1" applyFont="1"/>
    <xf numFmtId="0" fontId="2" fillId="0" borderId="0" xfId="0" applyFont="1" applyAlignment="1">
      <alignment horizontal="right"/>
    </xf>
    <xf numFmtId="10" fontId="0" fillId="0" borderId="0" xfId="2" applyNumberFormat="1" applyFont="1"/>
    <xf numFmtId="167" fontId="0" fillId="0" borderId="0" xfId="0" applyNumberForma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right"/>
    </xf>
    <xf numFmtId="0" fontId="9" fillId="0" borderId="0" xfId="3" applyFont="1" applyAlignment="1">
      <alignment vertical="center"/>
    </xf>
    <xf numFmtId="0" fontId="2" fillId="0" borderId="3" xfId="0" applyFont="1" applyBorder="1" applyAlignment="1">
      <alignment horizontal="right"/>
    </xf>
    <xf numFmtId="165" fontId="2" fillId="0" borderId="3" xfId="0" applyNumberFormat="1" applyFont="1" applyBorder="1"/>
    <xf numFmtId="0" fontId="2" fillId="0" borderId="3" xfId="0" applyFont="1" applyBorder="1"/>
    <xf numFmtId="20" fontId="0" fillId="2" borderId="0" xfId="0" applyNumberForma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3" borderId="0" xfId="0" applyFont="1" applyFill="1" applyAlignment="1">
      <alignment horizontal="left"/>
    </xf>
    <xf numFmtId="0" fontId="3" fillId="5" borderId="0" xfId="0" applyFont="1" applyFill="1" applyAlignment="1">
      <alignment horizontal="right"/>
    </xf>
    <xf numFmtId="20" fontId="3" fillId="3" borderId="0" xfId="0" applyNumberFormat="1" applyFont="1" applyFill="1" applyAlignment="1">
      <alignment horizontal="left"/>
    </xf>
    <xf numFmtId="0" fontId="10" fillId="0" borderId="0" xfId="0" applyFont="1"/>
    <xf numFmtId="0" fontId="12" fillId="0" borderId="0" xfId="0" applyFont="1"/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5" fontId="0" fillId="0" borderId="0" xfId="0" applyNumberFormat="1" applyFont="1"/>
    <xf numFmtId="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5" fontId="2" fillId="0" borderId="0" xfId="0" applyNumberFormat="1" applyFont="1" applyBorder="1" applyAlignment="1">
      <alignment horizontal="right"/>
    </xf>
    <xf numFmtId="0" fontId="13" fillId="0" borderId="0" xfId="3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20" fontId="0" fillId="0" borderId="1" xfId="0" applyNumberFormat="1" applyBorder="1"/>
    <xf numFmtId="0" fontId="2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1" xfId="0" applyNumberFormat="1" applyBorder="1"/>
    <xf numFmtId="0" fontId="2" fillId="4" borderId="0" xfId="0" applyFont="1" applyFill="1" applyBorder="1"/>
    <xf numFmtId="165" fontId="2" fillId="4" borderId="0" xfId="0" applyNumberFormat="1" applyFont="1" applyFill="1" applyBorder="1"/>
    <xf numFmtId="0" fontId="2" fillId="4" borderId="0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wrapText="1"/>
    </xf>
    <xf numFmtId="165" fontId="2" fillId="0" borderId="1" xfId="0" applyNumberFormat="1" applyFont="1" applyBorder="1"/>
    <xf numFmtId="0" fontId="0" fillId="0" borderId="0" xfId="0" applyBorder="1"/>
    <xf numFmtId="20" fontId="14" fillId="0" borderId="0" xfId="0" applyNumberFormat="1" applyFont="1"/>
    <xf numFmtId="2" fontId="14" fillId="0" borderId="0" xfId="0" applyNumberFormat="1" applyFont="1"/>
    <xf numFmtId="20" fontId="14" fillId="2" borderId="0" xfId="0" applyNumberFormat="1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0" fillId="7" borderId="0" xfId="0" applyFill="1"/>
    <xf numFmtId="0" fontId="3" fillId="7" borderId="0" xfId="0" applyFont="1" applyFill="1" applyAlignment="1">
      <alignment horizontal="left"/>
    </xf>
    <xf numFmtId="20" fontId="3" fillId="7" borderId="0" xfId="0" applyNumberFormat="1" applyFont="1" applyFill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165" fontId="2" fillId="0" borderId="0" xfId="0" applyNumberFormat="1" applyFont="1"/>
    <xf numFmtId="167" fontId="2" fillId="0" borderId="0" xfId="0" applyNumberFormat="1" applyFont="1"/>
    <xf numFmtId="18" fontId="0" fillId="0" borderId="0" xfId="0" applyNumberFormat="1"/>
    <xf numFmtId="18" fontId="0" fillId="0" borderId="0" xfId="0" applyNumberFormat="1" applyFill="1"/>
    <xf numFmtId="18" fontId="3" fillId="2" borderId="0" xfId="0" applyNumberFormat="1" applyFont="1" applyFill="1"/>
    <xf numFmtId="18" fontId="4" fillId="2" borderId="0" xfId="0" applyNumberFormat="1" applyFont="1" applyFill="1"/>
    <xf numFmtId="18" fontId="14" fillId="0" borderId="0" xfId="0" applyNumberFormat="1" applyFont="1"/>
    <xf numFmtId="18" fontId="9" fillId="6" borderId="0" xfId="0" applyNumberFormat="1" applyFont="1" applyFill="1"/>
    <xf numFmtId="20" fontId="0" fillId="2" borderId="0" xfId="0" applyNumberFormat="1" applyFill="1" applyAlignment="1">
      <alignment horizontal="center" vertical="center"/>
    </xf>
    <xf numFmtId="18" fontId="9" fillId="0" borderId="0" xfId="0" applyNumberFormat="1" applyFont="1" applyFill="1"/>
    <xf numFmtId="18" fontId="3" fillId="3" borderId="0" xfId="0" applyNumberFormat="1" applyFont="1" applyFill="1" applyAlignment="1">
      <alignment horizontal="left"/>
    </xf>
    <xf numFmtId="18" fontId="3" fillId="5" borderId="0" xfId="0" applyNumberFormat="1" applyFont="1" applyFill="1" applyAlignment="1">
      <alignment horizontal="right"/>
    </xf>
    <xf numFmtId="18" fontId="3" fillId="5" borderId="0" xfId="0" applyNumberFormat="1" applyFont="1" applyFill="1"/>
    <xf numFmtId="18" fontId="3" fillId="7" borderId="0" xfId="0" applyNumberFormat="1" applyFont="1" applyFill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14" fillId="0" borderId="0" xfId="0" applyNumberFormat="1" applyFont="1"/>
    <xf numFmtId="20" fontId="0" fillId="8" borderId="1" xfId="0" applyNumberFormat="1" applyFill="1" applyBorder="1"/>
    <xf numFmtId="18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/>
    </xf>
    <xf numFmtId="20" fontId="0" fillId="8" borderId="2" xfId="0" applyNumberFormat="1" applyFill="1" applyBorder="1"/>
    <xf numFmtId="9" fontId="0" fillId="0" borderId="0" xfId="2" applyFont="1"/>
    <xf numFmtId="18" fontId="14" fillId="0" borderId="0" xfId="0" applyNumberFormat="1" applyFont="1" applyAlignment="1">
      <alignment horizontal="center" vertical="center"/>
    </xf>
    <xf numFmtId="18" fontId="14" fillId="0" borderId="0" xfId="0" applyNumberFormat="1" applyFont="1" applyAlignment="1">
      <alignment horizontal="center"/>
    </xf>
    <xf numFmtId="20" fontId="9" fillId="2" borderId="0" xfId="0" applyNumberFormat="1" applyFont="1" applyFill="1"/>
    <xf numFmtId="0" fontId="0" fillId="0" borderId="0" xfId="0" applyFont="1" applyBorder="1" applyAlignment="1">
      <alignment horizontal="right"/>
    </xf>
    <xf numFmtId="1" fontId="0" fillId="0" borderId="0" xfId="0" applyNumberFormat="1"/>
    <xf numFmtId="166" fontId="0" fillId="0" borderId="0" xfId="0" applyNumberFormat="1"/>
    <xf numFmtId="9" fontId="0" fillId="0" borderId="0" xfId="2" applyNumberFormat="1" applyFont="1"/>
    <xf numFmtId="0" fontId="0" fillId="0" borderId="0" xfId="0" applyAlignment="1"/>
    <xf numFmtId="0" fontId="8" fillId="0" borderId="0" xfId="0" applyFont="1" applyFill="1" applyBorder="1" applyAlignment="1">
      <alignment horizontal="right" wrapText="1"/>
    </xf>
    <xf numFmtId="168" fontId="0" fillId="0" borderId="0" xfId="0" applyNumberFormat="1"/>
    <xf numFmtId="168" fontId="0" fillId="0" borderId="0" xfId="0" applyNumberFormat="1" applyFill="1"/>
    <xf numFmtId="9" fontId="2" fillId="0" borderId="0" xfId="2" applyFont="1" applyBorder="1"/>
    <xf numFmtId="0" fontId="9" fillId="0" borderId="0" xfId="0" applyFont="1" applyFill="1" applyAlignment="1">
      <alignment horizontal="center" vertical="center"/>
    </xf>
    <xf numFmtId="18" fontId="9" fillId="0" borderId="0" xfId="0" applyNumberFormat="1" applyFont="1" applyAlignment="1">
      <alignment horizontal="center" vertical="center"/>
    </xf>
    <xf numFmtId="166" fontId="0" fillId="0" borderId="0" xfId="1" applyNumberFormat="1" applyFont="1" applyBorder="1"/>
    <xf numFmtId="5" fontId="0" fillId="0" borderId="0" xfId="1" applyNumberFormat="1" applyFont="1" applyBorder="1"/>
    <xf numFmtId="5" fontId="6" fillId="0" borderId="0" xfId="1" applyNumberFormat="1" applyFont="1" applyBorder="1"/>
    <xf numFmtId="5" fontId="0" fillId="0" borderId="0" xfId="0" applyNumberFormat="1" applyBorder="1"/>
    <xf numFmtId="0" fontId="11" fillId="6" borderId="0" xfId="0" applyFont="1" applyFill="1"/>
    <xf numFmtId="0" fontId="0" fillId="6" borderId="0" xfId="0" applyFill="1"/>
    <xf numFmtId="0" fontId="8" fillId="6" borderId="0" xfId="0" applyFont="1" applyFill="1" applyAlignment="1">
      <alignment horizontal="center" wrapText="1"/>
    </xf>
    <xf numFmtId="18" fontId="8" fillId="6" borderId="0" xfId="0" applyNumberFormat="1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14" fillId="6" borderId="0" xfId="0" applyFont="1" applyFill="1" applyAlignment="1">
      <alignment horizontal="center"/>
    </xf>
    <xf numFmtId="0" fontId="10" fillId="6" borderId="0" xfId="0" applyFont="1" applyFill="1"/>
    <xf numFmtId="166" fontId="2" fillId="6" borderId="0" xfId="1" applyNumberFormat="1" applyFont="1" applyFill="1" applyAlignment="1">
      <alignment horizontal="center"/>
    </xf>
    <xf numFmtId="0" fontId="2" fillId="6" borderId="0" xfId="0" applyFont="1" applyFill="1"/>
    <xf numFmtId="166" fontId="2" fillId="6" borderId="0" xfId="0" applyNumberFormat="1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/>
    </xf>
    <xf numFmtId="0" fontId="0" fillId="6" borderId="0" xfId="0" applyFill="1" applyAlignment="1">
      <alignment horizontal="left"/>
    </xf>
    <xf numFmtId="18" fontId="0" fillId="6" borderId="0" xfId="0" applyNumberFormat="1" applyFill="1"/>
    <xf numFmtId="0" fontId="17" fillId="0" borderId="0" xfId="0" applyFont="1" applyBorder="1"/>
    <xf numFmtId="0" fontId="2" fillId="0" borderId="5" xfId="0" applyFont="1" applyBorder="1" applyAlignment="1">
      <alignment horizontal="right"/>
    </xf>
    <xf numFmtId="165" fontId="2" fillId="8" borderId="2" xfId="0" applyNumberFormat="1" applyFont="1" applyFill="1" applyBorder="1"/>
    <xf numFmtId="164" fontId="2" fillId="8" borderId="0" xfId="0" applyNumberFormat="1" applyFont="1" applyFill="1" applyBorder="1"/>
    <xf numFmtId="167" fontId="2" fillId="8" borderId="2" xfId="0" applyNumberFormat="1" applyFont="1" applyFill="1" applyBorder="1"/>
    <xf numFmtId="2" fontId="2" fillId="8" borderId="0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164" fontId="0" fillId="0" borderId="0" xfId="0" applyNumberFormat="1" applyBorder="1"/>
    <xf numFmtId="1" fontId="0" fillId="0" borderId="0" xfId="0" applyNumberFormat="1" applyBorder="1"/>
    <xf numFmtId="44" fontId="0" fillId="0" borderId="5" xfId="4" applyFont="1" applyBorder="1"/>
    <xf numFmtId="44" fontId="0" fillId="0" borderId="0" xfId="4" applyFont="1" applyBorder="1"/>
    <xf numFmtId="44" fontId="0" fillId="0" borderId="0" xfId="4" applyFont="1"/>
    <xf numFmtId="0" fontId="17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17" fontId="0" fillId="0" borderId="0" xfId="0" quotePrefix="1" applyNumberFormat="1" applyBorder="1"/>
    <xf numFmtId="0" fontId="0" fillId="0" borderId="0" xfId="0" quotePrefix="1" applyBorder="1"/>
    <xf numFmtId="14" fontId="0" fillId="0" borderId="0" xfId="0" applyNumberFormat="1" applyBorder="1" applyAlignment="1">
      <alignment horizontal="left"/>
    </xf>
    <xf numFmtId="0" fontId="0" fillId="0" borderId="0" xfId="0" applyFill="1"/>
    <xf numFmtId="5" fontId="0" fillId="0" borderId="0" xfId="0" applyNumberFormat="1" applyFill="1" applyBorder="1"/>
    <xf numFmtId="0" fontId="2" fillId="10" borderId="6" xfId="0" applyFont="1" applyFill="1" applyBorder="1" applyAlignment="1">
      <alignment horizontal="right"/>
    </xf>
    <xf numFmtId="5" fontId="2" fillId="10" borderId="6" xfId="0" applyNumberFormat="1" applyFont="1" applyFill="1" applyBorder="1"/>
    <xf numFmtId="168" fontId="2" fillId="0" borderId="0" xfId="0" applyNumberFormat="1" applyFont="1"/>
    <xf numFmtId="0" fontId="2" fillId="0" borderId="0" xfId="0" applyFont="1" applyFill="1"/>
    <xf numFmtId="168" fontId="2" fillId="0" borderId="0" xfId="0" applyNumberFormat="1" applyFont="1" applyFill="1"/>
    <xf numFmtId="9" fontId="0" fillId="0" borderId="0" xfId="2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5" fontId="2" fillId="0" borderId="8" xfId="0" applyNumberFormat="1" applyFont="1" applyFill="1" applyBorder="1"/>
    <xf numFmtId="5" fontId="1" fillId="0" borderId="0" xfId="1" applyNumberFormat="1" applyFont="1" applyBorder="1"/>
    <xf numFmtId="0" fontId="6" fillId="0" borderId="0" xfId="0" quotePrefix="1" applyFont="1" applyAlignment="1">
      <alignment horizontal="center"/>
    </xf>
    <xf numFmtId="5" fontId="0" fillId="0" borderId="0" xfId="1" applyNumberFormat="1" applyFont="1" applyFill="1" applyBorder="1"/>
    <xf numFmtId="166" fontId="0" fillId="0" borderId="0" xfId="0" applyNumberFormat="1" applyFill="1" applyBorder="1"/>
    <xf numFmtId="0" fontId="0" fillId="0" borderId="0" xfId="0" applyFont="1" applyFill="1"/>
    <xf numFmtId="168" fontId="0" fillId="0" borderId="0" xfId="0" applyNumberFormat="1" applyFont="1" applyFill="1"/>
    <xf numFmtId="0" fontId="2" fillId="9" borderId="0" xfId="0" applyFont="1" applyFill="1" applyBorder="1" applyAlignment="1">
      <alignment horizontal="center"/>
    </xf>
    <xf numFmtId="166" fontId="0" fillId="8" borderId="0" xfId="0" applyNumberFormat="1" applyFill="1" applyBorder="1"/>
  </cellXfs>
  <cellStyles count="7">
    <cellStyle name="Comma" xfId="1" builtinId="3"/>
    <cellStyle name="Currency" xfId="4" builtinId="4"/>
    <cellStyle name="Hyperlink" xfId="3" builtinId="8"/>
    <cellStyle name="Normal" xfId="0" builtinId="0"/>
    <cellStyle name="Normal 2" xfId="6"/>
    <cellStyle name="Normal 3" xfId="5"/>
    <cellStyle name="Percent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4</xdr:row>
      <xdr:rowOff>66675</xdr:rowOff>
    </xdr:from>
    <xdr:to>
      <xdr:col>3</xdr:col>
      <xdr:colOff>295276</xdr:colOff>
      <xdr:row>4</xdr:row>
      <xdr:rowOff>112394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801601" y="990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6</xdr:row>
      <xdr:rowOff>66675</xdr:rowOff>
    </xdr:from>
    <xdr:to>
      <xdr:col>3</xdr:col>
      <xdr:colOff>295276</xdr:colOff>
      <xdr:row>6</xdr:row>
      <xdr:rowOff>112394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801601" y="990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8</xdr:row>
      <xdr:rowOff>66675</xdr:rowOff>
    </xdr:from>
    <xdr:to>
      <xdr:col>3</xdr:col>
      <xdr:colOff>295276</xdr:colOff>
      <xdr:row>8</xdr:row>
      <xdr:rowOff>112394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801601" y="1371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</xdr:row>
      <xdr:rowOff>66675</xdr:rowOff>
    </xdr:from>
    <xdr:to>
      <xdr:col>3</xdr:col>
      <xdr:colOff>295276</xdr:colOff>
      <xdr:row>10</xdr:row>
      <xdr:rowOff>112394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801601" y="1752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</xdr:row>
      <xdr:rowOff>66675</xdr:rowOff>
    </xdr:from>
    <xdr:to>
      <xdr:col>3</xdr:col>
      <xdr:colOff>295276</xdr:colOff>
      <xdr:row>12</xdr:row>
      <xdr:rowOff>112394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801601" y="2133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14</xdr:row>
      <xdr:rowOff>66675</xdr:rowOff>
    </xdr:from>
    <xdr:to>
      <xdr:col>3</xdr:col>
      <xdr:colOff>295276</xdr:colOff>
      <xdr:row>14</xdr:row>
      <xdr:rowOff>112394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801601" y="2514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16</xdr:row>
      <xdr:rowOff>66675</xdr:rowOff>
    </xdr:from>
    <xdr:to>
      <xdr:col>3</xdr:col>
      <xdr:colOff>295276</xdr:colOff>
      <xdr:row>16</xdr:row>
      <xdr:rowOff>112394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801601" y="2895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17</xdr:row>
      <xdr:rowOff>66675</xdr:rowOff>
    </xdr:from>
    <xdr:to>
      <xdr:col>3</xdr:col>
      <xdr:colOff>295276</xdr:colOff>
      <xdr:row>17</xdr:row>
      <xdr:rowOff>112394</xdr:rowOff>
    </xdr:to>
    <xdr:sp macro="" textlink="">
      <xdr:nvSpPr>
        <xdr:cNvPr id="15" name="Right Arrow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801601" y="3276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19</xdr:row>
      <xdr:rowOff>66675</xdr:rowOff>
    </xdr:from>
    <xdr:to>
      <xdr:col>3</xdr:col>
      <xdr:colOff>295276</xdr:colOff>
      <xdr:row>19</xdr:row>
      <xdr:rowOff>112394</xdr:rowOff>
    </xdr:to>
    <xdr:sp macro="" textlink="">
      <xdr:nvSpPr>
        <xdr:cNvPr id="16" name="Right Arrow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801601" y="3657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20</xdr:row>
      <xdr:rowOff>66675</xdr:rowOff>
    </xdr:from>
    <xdr:to>
      <xdr:col>3</xdr:col>
      <xdr:colOff>295276</xdr:colOff>
      <xdr:row>20</xdr:row>
      <xdr:rowOff>112394</xdr:rowOff>
    </xdr:to>
    <xdr:sp macro="" textlink="">
      <xdr:nvSpPr>
        <xdr:cNvPr id="17" name="Right Arrow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801601" y="3848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23</xdr:row>
      <xdr:rowOff>66675</xdr:rowOff>
    </xdr:from>
    <xdr:to>
      <xdr:col>3</xdr:col>
      <xdr:colOff>295276</xdr:colOff>
      <xdr:row>23</xdr:row>
      <xdr:rowOff>112394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801601" y="4038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24</xdr:row>
      <xdr:rowOff>66675</xdr:rowOff>
    </xdr:from>
    <xdr:to>
      <xdr:col>3</xdr:col>
      <xdr:colOff>295276</xdr:colOff>
      <xdr:row>24</xdr:row>
      <xdr:rowOff>112394</xdr:rowOff>
    </xdr:to>
    <xdr:sp macro="" textlink="">
      <xdr:nvSpPr>
        <xdr:cNvPr id="19" name="Right Arrow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2801601" y="4419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28</xdr:row>
      <xdr:rowOff>66675</xdr:rowOff>
    </xdr:from>
    <xdr:to>
      <xdr:col>3</xdr:col>
      <xdr:colOff>295276</xdr:colOff>
      <xdr:row>28</xdr:row>
      <xdr:rowOff>112394</xdr:rowOff>
    </xdr:to>
    <xdr:sp macro="" textlink="">
      <xdr:nvSpPr>
        <xdr:cNvPr id="20" name="Right Arrow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2801601" y="4610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30</xdr:row>
      <xdr:rowOff>66675</xdr:rowOff>
    </xdr:from>
    <xdr:to>
      <xdr:col>3</xdr:col>
      <xdr:colOff>295276</xdr:colOff>
      <xdr:row>30</xdr:row>
      <xdr:rowOff>112394</xdr:rowOff>
    </xdr:to>
    <xdr:sp macro="" textlink="">
      <xdr:nvSpPr>
        <xdr:cNvPr id="21" name="Right Arrow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2801601" y="4610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31</xdr:row>
      <xdr:rowOff>66675</xdr:rowOff>
    </xdr:from>
    <xdr:to>
      <xdr:col>3</xdr:col>
      <xdr:colOff>295276</xdr:colOff>
      <xdr:row>31</xdr:row>
      <xdr:rowOff>112394</xdr:rowOff>
    </xdr:to>
    <xdr:sp macro="" textlink="">
      <xdr:nvSpPr>
        <xdr:cNvPr id="22" name="Right Arrow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801601" y="4610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33</xdr:row>
      <xdr:rowOff>66675</xdr:rowOff>
    </xdr:from>
    <xdr:to>
      <xdr:col>3</xdr:col>
      <xdr:colOff>295276</xdr:colOff>
      <xdr:row>33</xdr:row>
      <xdr:rowOff>112394</xdr:rowOff>
    </xdr:to>
    <xdr:sp macro="" textlink="">
      <xdr:nvSpPr>
        <xdr:cNvPr id="23" name="Right Arrow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2801601" y="4610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37</xdr:row>
      <xdr:rowOff>66675</xdr:rowOff>
    </xdr:from>
    <xdr:to>
      <xdr:col>3</xdr:col>
      <xdr:colOff>295276</xdr:colOff>
      <xdr:row>37</xdr:row>
      <xdr:rowOff>112394</xdr:rowOff>
    </xdr:to>
    <xdr:sp macro="" textlink="">
      <xdr:nvSpPr>
        <xdr:cNvPr id="24" name="Right Arrow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2801601" y="5562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38</xdr:row>
      <xdr:rowOff>66675</xdr:rowOff>
    </xdr:from>
    <xdr:to>
      <xdr:col>3</xdr:col>
      <xdr:colOff>295276</xdr:colOff>
      <xdr:row>38</xdr:row>
      <xdr:rowOff>112394</xdr:rowOff>
    </xdr:to>
    <xdr:sp macro="" textlink="">
      <xdr:nvSpPr>
        <xdr:cNvPr id="25" name="Right Arrow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2801601" y="55626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42</xdr:row>
      <xdr:rowOff>66675</xdr:rowOff>
    </xdr:from>
    <xdr:to>
      <xdr:col>3</xdr:col>
      <xdr:colOff>295276</xdr:colOff>
      <xdr:row>42</xdr:row>
      <xdr:rowOff>112394</xdr:rowOff>
    </xdr:to>
    <xdr:sp macro="" textlink="">
      <xdr:nvSpPr>
        <xdr:cNvPr id="26" name="Right Arrow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44</xdr:row>
      <xdr:rowOff>66675</xdr:rowOff>
    </xdr:from>
    <xdr:to>
      <xdr:col>3</xdr:col>
      <xdr:colOff>295276</xdr:colOff>
      <xdr:row>44</xdr:row>
      <xdr:rowOff>112394</xdr:rowOff>
    </xdr:to>
    <xdr:sp macro="" textlink="">
      <xdr:nvSpPr>
        <xdr:cNvPr id="27" name="Right Arrow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47</xdr:row>
      <xdr:rowOff>66675</xdr:rowOff>
    </xdr:from>
    <xdr:to>
      <xdr:col>3</xdr:col>
      <xdr:colOff>295276</xdr:colOff>
      <xdr:row>47</xdr:row>
      <xdr:rowOff>112394</xdr:rowOff>
    </xdr:to>
    <xdr:sp macro="" textlink="">
      <xdr:nvSpPr>
        <xdr:cNvPr id="28" name="Right Arrow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49</xdr:row>
      <xdr:rowOff>66675</xdr:rowOff>
    </xdr:from>
    <xdr:to>
      <xdr:col>3</xdr:col>
      <xdr:colOff>295276</xdr:colOff>
      <xdr:row>49</xdr:row>
      <xdr:rowOff>112394</xdr:rowOff>
    </xdr:to>
    <xdr:sp macro="" textlink="">
      <xdr:nvSpPr>
        <xdr:cNvPr id="29" name="Right Arrow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50</xdr:row>
      <xdr:rowOff>66675</xdr:rowOff>
    </xdr:from>
    <xdr:to>
      <xdr:col>3</xdr:col>
      <xdr:colOff>295276</xdr:colOff>
      <xdr:row>50</xdr:row>
      <xdr:rowOff>112394</xdr:rowOff>
    </xdr:to>
    <xdr:sp macro="" textlink="">
      <xdr:nvSpPr>
        <xdr:cNvPr id="30" name="Right Arrow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52</xdr:row>
      <xdr:rowOff>66675</xdr:rowOff>
    </xdr:from>
    <xdr:to>
      <xdr:col>3</xdr:col>
      <xdr:colOff>295276</xdr:colOff>
      <xdr:row>52</xdr:row>
      <xdr:rowOff>112394</xdr:rowOff>
    </xdr:to>
    <xdr:sp macro="" textlink="">
      <xdr:nvSpPr>
        <xdr:cNvPr id="31" name="Right Arrow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53</xdr:row>
      <xdr:rowOff>66675</xdr:rowOff>
    </xdr:from>
    <xdr:to>
      <xdr:col>3</xdr:col>
      <xdr:colOff>295276</xdr:colOff>
      <xdr:row>53</xdr:row>
      <xdr:rowOff>112394</xdr:rowOff>
    </xdr:to>
    <xdr:sp macro="" textlink="">
      <xdr:nvSpPr>
        <xdr:cNvPr id="32" name="Right Arrow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5</xdr:row>
      <xdr:rowOff>78106</xdr:rowOff>
    </xdr:from>
    <xdr:to>
      <xdr:col>9</xdr:col>
      <xdr:colOff>314325</xdr:colOff>
      <xdr:row>5</xdr:row>
      <xdr:rowOff>133350</xdr:rowOff>
    </xdr:to>
    <xdr:sp macro="" textlink="">
      <xdr:nvSpPr>
        <xdr:cNvPr id="73" name="Left Arrow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5621000" y="1192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7</xdr:row>
      <xdr:rowOff>78106</xdr:rowOff>
    </xdr:from>
    <xdr:to>
      <xdr:col>9</xdr:col>
      <xdr:colOff>314325</xdr:colOff>
      <xdr:row>7</xdr:row>
      <xdr:rowOff>133350</xdr:rowOff>
    </xdr:to>
    <xdr:sp macro="" textlink="">
      <xdr:nvSpPr>
        <xdr:cNvPr id="75" name="Left Arrow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5716250" y="1192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4</xdr:row>
      <xdr:rowOff>19050</xdr:rowOff>
    </xdr:from>
    <xdr:to>
      <xdr:col>9</xdr:col>
      <xdr:colOff>295275</xdr:colOff>
      <xdr:row>4</xdr:row>
      <xdr:rowOff>161925</xdr:rowOff>
    </xdr:to>
    <xdr:sp macro="" textlink="">
      <xdr:nvSpPr>
        <xdr:cNvPr id="76" name="Curved Left Arrow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5792450" y="942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9</xdr:row>
      <xdr:rowOff>78106</xdr:rowOff>
    </xdr:from>
    <xdr:to>
      <xdr:col>9</xdr:col>
      <xdr:colOff>314325</xdr:colOff>
      <xdr:row>9</xdr:row>
      <xdr:rowOff>133350</xdr:rowOff>
    </xdr:to>
    <xdr:sp macro="" textlink="">
      <xdr:nvSpPr>
        <xdr:cNvPr id="77" name="Left Arrow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15716250" y="1192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11</xdr:row>
      <xdr:rowOff>78106</xdr:rowOff>
    </xdr:from>
    <xdr:to>
      <xdr:col>9</xdr:col>
      <xdr:colOff>314325</xdr:colOff>
      <xdr:row>11</xdr:row>
      <xdr:rowOff>133350</xdr:rowOff>
    </xdr:to>
    <xdr:sp macro="" textlink="">
      <xdr:nvSpPr>
        <xdr:cNvPr id="78" name="Left Arrow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5716250" y="1954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13</xdr:row>
      <xdr:rowOff>78106</xdr:rowOff>
    </xdr:from>
    <xdr:to>
      <xdr:col>9</xdr:col>
      <xdr:colOff>314325</xdr:colOff>
      <xdr:row>13</xdr:row>
      <xdr:rowOff>133350</xdr:rowOff>
    </xdr:to>
    <xdr:sp macro="" textlink="">
      <xdr:nvSpPr>
        <xdr:cNvPr id="79" name="Left Arrow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5716250" y="2335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15</xdr:row>
      <xdr:rowOff>78106</xdr:rowOff>
    </xdr:from>
    <xdr:to>
      <xdr:col>9</xdr:col>
      <xdr:colOff>314325</xdr:colOff>
      <xdr:row>15</xdr:row>
      <xdr:rowOff>133350</xdr:rowOff>
    </xdr:to>
    <xdr:sp macro="" textlink="">
      <xdr:nvSpPr>
        <xdr:cNvPr id="80" name="Left Arrow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5716250" y="2716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6</xdr:row>
      <xdr:rowOff>19050</xdr:rowOff>
    </xdr:from>
    <xdr:to>
      <xdr:col>9</xdr:col>
      <xdr:colOff>295275</xdr:colOff>
      <xdr:row>6</xdr:row>
      <xdr:rowOff>161925</xdr:rowOff>
    </xdr:to>
    <xdr:sp macro="" textlink="">
      <xdr:nvSpPr>
        <xdr:cNvPr id="87" name="Curved Left Arrow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15792450" y="942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8</xdr:row>
      <xdr:rowOff>19050</xdr:rowOff>
    </xdr:from>
    <xdr:to>
      <xdr:col>9</xdr:col>
      <xdr:colOff>295275</xdr:colOff>
      <xdr:row>8</xdr:row>
      <xdr:rowOff>161925</xdr:rowOff>
    </xdr:to>
    <xdr:sp macro="" textlink="">
      <xdr:nvSpPr>
        <xdr:cNvPr id="88" name="Curved Left Arrow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15792450" y="1323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10</xdr:row>
      <xdr:rowOff>19050</xdr:rowOff>
    </xdr:from>
    <xdr:to>
      <xdr:col>9</xdr:col>
      <xdr:colOff>295275</xdr:colOff>
      <xdr:row>10</xdr:row>
      <xdr:rowOff>161925</xdr:rowOff>
    </xdr:to>
    <xdr:sp macro="" textlink="">
      <xdr:nvSpPr>
        <xdr:cNvPr id="89" name="Curved Left Arrow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15792450" y="1704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12</xdr:row>
      <xdr:rowOff>19050</xdr:rowOff>
    </xdr:from>
    <xdr:to>
      <xdr:col>9</xdr:col>
      <xdr:colOff>295275</xdr:colOff>
      <xdr:row>12</xdr:row>
      <xdr:rowOff>161925</xdr:rowOff>
    </xdr:to>
    <xdr:sp macro="" textlink="">
      <xdr:nvSpPr>
        <xdr:cNvPr id="90" name="Curved Left Arrow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15792450" y="2085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14</xdr:row>
      <xdr:rowOff>19050</xdr:rowOff>
    </xdr:from>
    <xdr:to>
      <xdr:col>9</xdr:col>
      <xdr:colOff>295275</xdr:colOff>
      <xdr:row>14</xdr:row>
      <xdr:rowOff>161925</xdr:rowOff>
    </xdr:to>
    <xdr:sp macro="" textlink="">
      <xdr:nvSpPr>
        <xdr:cNvPr id="91" name="Curved Left Arrow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15792450" y="2466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17</xdr:row>
      <xdr:rowOff>19050</xdr:rowOff>
    </xdr:from>
    <xdr:to>
      <xdr:col>9</xdr:col>
      <xdr:colOff>295275</xdr:colOff>
      <xdr:row>17</xdr:row>
      <xdr:rowOff>161925</xdr:rowOff>
    </xdr:to>
    <xdr:sp macro="" textlink="">
      <xdr:nvSpPr>
        <xdr:cNvPr id="97" name="Curved Left Arrow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15935325" y="3228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18</xdr:row>
      <xdr:rowOff>78106</xdr:rowOff>
    </xdr:from>
    <xdr:to>
      <xdr:col>9</xdr:col>
      <xdr:colOff>314325</xdr:colOff>
      <xdr:row>18</xdr:row>
      <xdr:rowOff>133350</xdr:rowOff>
    </xdr:to>
    <xdr:sp macro="" textlink="">
      <xdr:nvSpPr>
        <xdr:cNvPr id="98" name="Left Arrow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15859125" y="3478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21</xdr:row>
      <xdr:rowOff>66675</xdr:rowOff>
    </xdr:from>
    <xdr:to>
      <xdr:col>3</xdr:col>
      <xdr:colOff>295276</xdr:colOff>
      <xdr:row>21</xdr:row>
      <xdr:rowOff>112394</xdr:rowOff>
    </xdr:to>
    <xdr:sp macro="" textlink="">
      <xdr:nvSpPr>
        <xdr:cNvPr id="99" name="Right Arrow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12801601" y="4229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21</xdr:row>
      <xdr:rowOff>19050</xdr:rowOff>
    </xdr:from>
    <xdr:to>
      <xdr:col>9</xdr:col>
      <xdr:colOff>295275</xdr:colOff>
      <xdr:row>21</xdr:row>
      <xdr:rowOff>161925</xdr:rowOff>
    </xdr:to>
    <xdr:sp macro="" textlink="">
      <xdr:nvSpPr>
        <xdr:cNvPr id="100" name="Curved Left Arrow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15935325" y="3609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22</xdr:row>
      <xdr:rowOff>78106</xdr:rowOff>
    </xdr:from>
    <xdr:to>
      <xdr:col>9</xdr:col>
      <xdr:colOff>314325</xdr:colOff>
      <xdr:row>22</xdr:row>
      <xdr:rowOff>133350</xdr:rowOff>
    </xdr:to>
    <xdr:sp macro="" textlink="">
      <xdr:nvSpPr>
        <xdr:cNvPr id="101" name="Left Arrow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5859125" y="3859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26</xdr:row>
      <xdr:rowOff>66675</xdr:rowOff>
    </xdr:from>
    <xdr:to>
      <xdr:col>3</xdr:col>
      <xdr:colOff>295276</xdr:colOff>
      <xdr:row>26</xdr:row>
      <xdr:rowOff>112394</xdr:rowOff>
    </xdr:to>
    <xdr:sp macro="" textlink="">
      <xdr:nvSpPr>
        <xdr:cNvPr id="102" name="Right Arrow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2801601" y="4991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26</xdr:row>
      <xdr:rowOff>19050</xdr:rowOff>
    </xdr:from>
    <xdr:to>
      <xdr:col>9</xdr:col>
      <xdr:colOff>295275</xdr:colOff>
      <xdr:row>26</xdr:row>
      <xdr:rowOff>161925</xdr:rowOff>
    </xdr:to>
    <xdr:sp macro="" textlink="">
      <xdr:nvSpPr>
        <xdr:cNvPr id="103" name="Curved Left Arrow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15935325" y="49434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34</xdr:row>
      <xdr:rowOff>66675</xdr:rowOff>
    </xdr:from>
    <xdr:to>
      <xdr:col>3</xdr:col>
      <xdr:colOff>295276</xdr:colOff>
      <xdr:row>34</xdr:row>
      <xdr:rowOff>112394</xdr:rowOff>
    </xdr:to>
    <xdr:sp macro="" textlink="">
      <xdr:nvSpPr>
        <xdr:cNvPr id="105" name="Right Arrow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12801601" y="6134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34</xdr:row>
      <xdr:rowOff>19050</xdr:rowOff>
    </xdr:from>
    <xdr:to>
      <xdr:col>9</xdr:col>
      <xdr:colOff>295275</xdr:colOff>
      <xdr:row>34</xdr:row>
      <xdr:rowOff>161925</xdr:rowOff>
    </xdr:to>
    <xdr:sp macro="" textlink="">
      <xdr:nvSpPr>
        <xdr:cNvPr id="106" name="Curved Left Arrow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15992475" y="60864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35</xdr:row>
      <xdr:rowOff>78106</xdr:rowOff>
    </xdr:from>
    <xdr:to>
      <xdr:col>9</xdr:col>
      <xdr:colOff>314325</xdr:colOff>
      <xdr:row>35</xdr:row>
      <xdr:rowOff>133350</xdr:rowOff>
    </xdr:to>
    <xdr:sp macro="" textlink="">
      <xdr:nvSpPr>
        <xdr:cNvPr id="107" name="Left Arrow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15916275" y="5383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40</xdr:row>
      <xdr:rowOff>66675</xdr:rowOff>
    </xdr:from>
    <xdr:to>
      <xdr:col>3</xdr:col>
      <xdr:colOff>295276</xdr:colOff>
      <xdr:row>40</xdr:row>
      <xdr:rowOff>112394</xdr:rowOff>
    </xdr:to>
    <xdr:sp macro="" textlink="">
      <xdr:nvSpPr>
        <xdr:cNvPr id="108" name="Right Arrow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12801601" y="68961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40</xdr:row>
      <xdr:rowOff>19050</xdr:rowOff>
    </xdr:from>
    <xdr:to>
      <xdr:col>9</xdr:col>
      <xdr:colOff>295275</xdr:colOff>
      <xdr:row>40</xdr:row>
      <xdr:rowOff>161925</xdr:rowOff>
    </xdr:to>
    <xdr:sp macro="" textlink="">
      <xdr:nvSpPr>
        <xdr:cNvPr id="109" name="Curved Left Arrow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15992475" y="68484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41</xdr:row>
      <xdr:rowOff>78106</xdr:rowOff>
    </xdr:from>
    <xdr:to>
      <xdr:col>9</xdr:col>
      <xdr:colOff>314325</xdr:colOff>
      <xdr:row>41</xdr:row>
      <xdr:rowOff>133350</xdr:rowOff>
    </xdr:to>
    <xdr:sp macro="" textlink="">
      <xdr:nvSpPr>
        <xdr:cNvPr id="110" name="Left Arrow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15916275" y="6526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61</xdr:row>
      <xdr:rowOff>66675</xdr:rowOff>
    </xdr:from>
    <xdr:to>
      <xdr:col>3</xdr:col>
      <xdr:colOff>295276</xdr:colOff>
      <xdr:row>61</xdr:row>
      <xdr:rowOff>112394</xdr:rowOff>
    </xdr:to>
    <xdr:sp macro="" textlink="">
      <xdr:nvSpPr>
        <xdr:cNvPr id="111" name="Right Arrow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12801601" y="88106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63</xdr:row>
      <xdr:rowOff>66675</xdr:rowOff>
    </xdr:from>
    <xdr:to>
      <xdr:col>3</xdr:col>
      <xdr:colOff>295276</xdr:colOff>
      <xdr:row>63</xdr:row>
      <xdr:rowOff>112394</xdr:rowOff>
    </xdr:to>
    <xdr:sp macro="" textlink="">
      <xdr:nvSpPr>
        <xdr:cNvPr id="112" name="Right Arrow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12801601" y="104489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65</xdr:row>
      <xdr:rowOff>66675</xdr:rowOff>
    </xdr:from>
    <xdr:to>
      <xdr:col>3</xdr:col>
      <xdr:colOff>295276</xdr:colOff>
      <xdr:row>65</xdr:row>
      <xdr:rowOff>112394</xdr:rowOff>
    </xdr:to>
    <xdr:sp macro="" textlink="">
      <xdr:nvSpPr>
        <xdr:cNvPr id="113" name="Right Arrow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2801601" y="108299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67</xdr:row>
      <xdr:rowOff>66675</xdr:rowOff>
    </xdr:from>
    <xdr:to>
      <xdr:col>3</xdr:col>
      <xdr:colOff>295276</xdr:colOff>
      <xdr:row>67</xdr:row>
      <xdr:rowOff>112394</xdr:rowOff>
    </xdr:to>
    <xdr:sp macro="" textlink="">
      <xdr:nvSpPr>
        <xdr:cNvPr id="114" name="Right Arrow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12801601" y="112109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62</xdr:row>
      <xdr:rowOff>78106</xdr:rowOff>
    </xdr:from>
    <xdr:to>
      <xdr:col>9</xdr:col>
      <xdr:colOff>314325</xdr:colOff>
      <xdr:row>62</xdr:row>
      <xdr:rowOff>133350</xdr:rowOff>
    </xdr:to>
    <xdr:sp macro="" textlink="">
      <xdr:nvSpPr>
        <xdr:cNvPr id="115" name="Left Arrow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5916275" y="7288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64</xdr:row>
      <xdr:rowOff>78106</xdr:rowOff>
    </xdr:from>
    <xdr:to>
      <xdr:col>9</xdr:col>
      <xdr:colOff>314325</xdr:colOff>
      <xdr:row>64</xdr:row>
      <xdr:rowOff>133350</xdr:rowOff>
    </xdr:to>
    <xdr:sp macro="" textlink="">
      <xdr:nvSpPr>
        <xdr:cNvPr id="116" name="Left Arrow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15916275" y="106508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66</xdr:row>
      <xdr:rowOff>78106</xdr:rowOff>
    </xdr:from>
    <xdr:to>
      <xdr:col>9</xdr:col>
      <xdr:colOff>314325</xdr:colOff>
      <xdr:row>66</xdr:row>
      <xdr:rowOff>133350</xdr:rowOff>
    </xdr:to>
    <xdr:sp macro="" textlink="">
      <xdr:nvSpPr>
        <xdr:cNvPr id="117" name="Left Arrow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15916275" y="110318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61</xdr:row>
      <xdr:rowOff>19050</xdr:rowOff>
    </xdr:from>
    <xdr:to>
      <xdr:col>9</xdr:col>
      <xdr:colOff>295275</xdr:colOff>
      <xdr:row>61</xdr:row>
      <xdr:rowOff>161925</xdr:rowOff>
    </xdr:to>
    <xdr:sp macro="" textlink="">
      <xdr:nvSpPr>
        <xdr:cNvPr id="118" name="Curved Left Arrow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15992475" y="7038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63</xdr:row>
      <xdr:rowOff>19050</xdr:rowOff>
    </xdr:from>
    <xdr:to>
      <xdr:col>9</xdr:col>
      <xdr:colOff>295275</xdr:colOff>
      <xdr:row>63</xdr:row>
      <xdr:rowOff>161925</xdr:rowOff>
    </xdr:to>
    <xdr:sp macro="" textlink="">
      <xdr:nvSpPr>
        <xdr:cNvPr id="119" name="Curved Left Arrow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15992475" y="104013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65</xdr:row>
      <xdr:rowOff>19050</xdr:rowOff>
    </xdr:from>
    <xdr:to>
      <xdr:col>9</xdr:col>
      <xdr:colOff>295275</xdr:colOff>
      <xdr:row>65</xdr:row>
      <xdr:rowOff>161925</xdr:rowOff>
    </xdr:to>
    <xdr:sp macro="" textlink="">
      <xdr:nvSpPr>
        <xdr:cNvPr id="120" name="Curved Left Arrow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15992475" y="107823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75</xdr:row>
      <xdr:rowOff>66675</xdr:rowOff>
    </xdr:from>
    <xdr:to>
      <xdr:col>3</xdr:col>
      <xdr:colOff>295276</xdr:colOff>
      <xdr:row>75</xdr:row>
      <xdr:rowOff>112394</xdr:rowOff>
    </xdr:to>
    <xdr:sp macro="" textlink="">
      <xdr:nvSpPr>
        <xdr:cNvPr id="121" name="Right Arrow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12801601" y="921067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75</xdr:row>
      <xdr:rowOff>19050</xdr:rowOff>
    </xdr:from>
    <xdr:to>
      <xdr:col>9</xdr:col>
      <xdr:colOff>295275</xdr:colOff>
      <xdr:row>75</xdr:row>
      <xdr:rowOff>161925</xdr:rowOff>
    </xdr:to>
    <xdr:sp macro="" textlink="">
      <xdr:nvSpPr>
        <xdr:cNvPr id="122" name="Curved Left Arrow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16135350" y="108489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77</xdr:row>
      <xdr:rowOff>66675</xdr:rowOff>
    </xdr:from>
    <xdr:to>
      <xdr:col>3</xdr:col>
      <xdr:colOff>295276</xdr:colOff>
      <xdr:row>77</xdr:row>
      <xdr:rowOff>112394</xdr:rowOff>
    </xdr:to>
    <xdr:sp macro="" textlink="">
      <xdr:nvSpPr>
        <xdr:cNvPr id="123" name="Right Arrow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12801601" y="12963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77</xdr:row>
      <xdr:rowOff>19050</xdr:rowOff>
    </xdr:from>
    <xdr:to>
      <xdr:col>9</xdr:col>
      <xdr:colOff>295275</xdr:colOff>
      <xdr:row>77</xdr:row>
      <xdr:rowOff>161925</xdr:rowOff>
    </xdr:to>
    <xdr:sp macro="" textlink="">
      <xdr:nvSpPr>
        <xdr:cNvPr id="124" name="Curved Left Arrow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16135350" y="12915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79</xdr:row>
      <xdr:rowOff>66675</xdr:rowOff>
    </xdr:from>
    <xdr:to>
      <xdr:col>3</xdr:col>
      <xdr:colOff>295276</xdr:colOff>
      <xdr:row>79</xdr:row>
      <xdr:rowOff>112394</xdr:rowOff>
    </xdr:to>
    <xdr:sp macro="" textlink="">
      <xdr:nvSpPr>
        <xdr:cNvPr id="125" name="Right Arrow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12801601" y="13344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79</xdr:row>
      <xdr:rowOff>19050</xdr:rowOff>
    </xdr:from>
    <xdr:to>
      <xdr:col>9</xdr:col>
      <xdr:colOff>295275</xdr:colOff>
      <xdr:row>79</xdr:row>
      <xdr:rowOff>161925</xdr:rowOff>
    </xdr:to>
    <xdr:sp macro="" textlink="">
      <xdr:nvSpPr>
        <xdr:cNvPr id="126" name="Curved Left Arrow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16135350" y="13296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81</xdr:row>
      <xdr:rowOff>66675</xdr:rowOff>
    </xdr:from>
    <xdr:to>
      <xdr:col>3</xdr:col>
      <xdr:colOff>295276</xdr:colOff>
      <xdr:row>81</xdr:row>
      <xdr:rowOff>112394</xdr:rowOff>
    </xdr:to>
    <xdr:sp macro="" textlink="">
      <xdr:nvSpPr>
        <xdr:cNvPr id="127" name="Right Arrow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12801601" y="13725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81</xdr:row>
      <xdr:rowOff>19050</xdr:rowOff>
    </xdr:from>
    <xdr:to>
      <xdr:col>9</xdr:col>
      <xdr:colOff>295275</xdr:colOff>
      <xdr:row>81</xdr:row>
      <xdr:rowOff>161925</xdr:rowOff>
    </xdr:to>
    <xdr:sp macro="" textlink="">
      <xdr:nvSpPr>
        <xdr:cNvPr id="128" name="Curved Left Arrow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16135350" y="13677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83</xdr:row>
      <xdr:rowOff>66675</xdr:rowOff>
    </xdr:from>
    <xdr:to>
      <xdr:col>3</xdr:col>
      <xdr:colOff>295276</xdr:colOff>
      <xdr:row>83</xdr:row>
      <xdr:rowOff>112394</xdr:rowOff>
    </xdr:to>
    <xdr:sp macro="" textlink="">
      <xdr:nvSpPr>
        <xdr:cNvPr id="129" name="Right Arrow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12801601" y="14106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83</xdr:row>
      <xdr:rowOff>19050</xdr:rowOff>
    </xdr:from>
    <xdr:to>
      <xdr:col>9</xdr:col>
      <xdr:colOff>295275</xdr:colOff>
      <xdr:row>83</xdr:row>
      <xdr:rowOff>161925</xdr:rowOff>
    </xdr:to>
    <xdr:sp macro="" textlink="">
      <xdr:nvSpPr>
        <xdr:cNvPr id="130" name="Curved Left Arrow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16135350" y="14058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85</xdr:row>
      <xdr:rowOff>66675</xdr:rowOff>
    </xdr:from>
    <xdr:to>
      <xdr:col>3</xdr:col>
      <xdr:colOff>295276</xdr:colOff>
      <xdr:row>85</xdr:row>
      <xdr:rowOff>112394</xdr:rowOff>
    </xdr:to>
    <xdr:sp macro="" textlink="">
      <xdr:nvSpPr>
        <xdr:cNvPr id="131" name="Right Arrow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12801601" y="14487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85</xdr:row>
      <xdr:rowOff>19050</xdr:rowOff>
    </xdr:from>
    <xdr:to>
      <xdr:col>9</xdr:col>
      <xdr:colOff>295275</xdr:colOff>
      <xdr:row>85</xdr:row>
      <xdr:rowOff>161925</xdr:rowOff>
    </xdr:to>
    <xdr:sp macro="" textlink="">
      <xdr:nvSpPr>
        <xdr:cNvPr id="132" name="Curved Left Arrow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16135350" y="14439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87</xdr:row>
      <xdr:rowOff>66675</xdr:rowOff>
    </xdr:from>
    <xdr:to>
      <xdr:col>3</xdr:col>
      <xdr:colOff>295276</xdr:colOff>
      <xdr:row>87</xdr:row>
      <xdr:rowOff>112394</xdr:rowOff>
    </xdr:to>
    <xdr:sp macro="" textlink="">
      <xdr:nvSpPr>
        <xdr:cNvPr id="133" name="Right Arrow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12801601" y="14868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87</xdr:row>
      <xdr:rowOff>19050</xdr:rowOff>
    </xdr:from>
    <xdr:to>
      <xdr:col>9</xdr:col>
      <xdr:colOff>295275</xdr:colOff>
      <xdr:row>87</xdr:row>
      <xdr:rowOff>161925</xdr:rowOff>
    </xdr:to>
    <xdr:sp macro="" textlink="">
      <xdr:nvSpPr>
        <xdr:cNvPr id="134" name="Curved Left Arrow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16135350" y="14820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89</xdr:row>
      <xdr:rowOff>66675</xdr:rowOff>
    </xdr:from>
    <xdr:to>
      <xdr:col>3</xdr:col>
      <xdr:colOff>295276</xdr:colOff>
      <xdr:row>89</xdr:row>
      <xdr:rowOff>112394</xdr:rowOff>
    </xdr:to>
    <xdr:sp macro="" textlink="">
      <xdr:nvSpPr>
        <xdr:cNvPr id="135" name="Right Arrow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12801601" y="15249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90</xdr:row>
      <xdr:rowOff>66675</xdr:rowOff>
    </xdr:from>
    <xdr:to>
      <xdr:col>3</xdr:col>
      <xdr:colOff>295276</xdr:colOff>
      <xdr:row>90</xdr:row>
      <xdr:rowOff>112394</xdr:rowOff>
    </xdr:to>
    <xdr:sp macro="" textlink="">
      <xdr:nvSpPr>
        <xdr:cNvPr id="137" name="Right Arrow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12801601" y="15249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90</xdr:row>
      <xdr:rowOff>19050</xdr:rowOff>
    </xdr:from>
    <xdr:to>
      <xdr:col>9</xdr:col>
      <xdr:colOff>295275</xdr:colOff>
      <xdr:row>90</xdr:row>
      <xdr:rowOff>161925</xdr:rowOff>
    </xdr:to>
    <xdr:sp macro="" textlink="">
      <xdr:nvSpPr>
        <xdr:cNvPr id="138" name="Curved Left Arrow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16135350" y="15201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92</xdr:row>
      <xdr:rowOff>66675</xdr:rowOff>
    </xdr:from>
    <xdr:to>
      <xdr:col>3</xdr:col>
      <xdr:colOff>295276</xdr:colOff>
      <xdr:row>92</xdr:row>
      <xdr:rowOff>112394</xdr:rowOff>
    </xdr:to>
    <xdr:sp macro="" textlink="">
      <xdr:nvSpPr>
        <xdr:cNvPr id="139" name="Right Arrow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12801601" y="15821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94</xdr:row>
      <xdr:rowOff>66675</xdr:rowOff>
    </xdr:from>
    <xdr:to>
      <xdr:col>3</xdr:col>
      <xdr:colOff>295276</xdr:colOff>
      <xdr:row>94</xdr:row>
      <xdr:rowOff>112394</xdr:rowOff>
    </xdr:to>
    <xdr:sp macro="" textlink="">
      <xdr:nvSpPr>
        <xdr:cNvPr id="141" name="Right Arrow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12801601" y="15821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95</xdr:row>
      <xdr:rowOff>66675</xdr:rowOff>
    </xdr:from>
    <xdr:to>
      <xdr:col>3</xdr:col>
      <xdr:colOff>295276</xdr:colOff>
      <xdr:row>95</xdr:row>
      <xdr:rowOff>112394</xdr:rowOff>
    </xdr:to>
    <xdr:sp macro="" textlink="">
      <xdr:nvSpPr>
        <xdr:cNvPr id="143" name="Right Arrow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2801601" y="15821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97</xdr:row>
      <xdr:rowOff>66675</xdr:rowOff>
    </xdr:from>
    <xdr:to>
      <xdr:col>3</xdr:col>
      <xdr:colOff>295276</xdr:colOff>
      <xdr:row>97</xdr:row>
      <xdr:rowOff>112394</xdr:rowOff>
    </xdr:to>
    <xdr:sp macro="" textlink="">
      <xdr:nvSpPr>
        <xdr:cNvPr id="145" name="Right Arrow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12801601" y="1658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99</xdr:row>
      <xdr:rowOff>66675</xdr:rowOff>
    </xdr:from>
    <xdr:to>
      <xdr:col>3</xdr:col>
      <xdr:colOff>295276</xdr:colOff>
      <xdr:row>99</xdr:row>
      <xdr:rowOff>112394</xdr:rowOff>
    </xdr:to>
    <xdr:sp macro="" textlink="">
      <xdr:nvSpPr>
        <xdr:cNvPr id="147" name="Right Arrow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12801601" y="1658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101</xdr:row>
      <xdr:rowOff>66675</xdr:rowOff>
    </xdr:from>
    <xdr:to>
      <xdr:col>3</xdr:col>
      <xdr:colOff>295276</xdr:colOff>
      <xdr:row>101</xdr:row>
      <xdr:rowOff>112394</xdr:rowOff>
    </xdr:to>
    <xdr:sp macro="" textlink="">
      <xdr:nvSpPr>
        <xdr:cNvPr id="149" name="Right Arrow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2801601" y="1658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102</xdr:row>
      <xdr:rowOff>66675</xdr:rowOff>
    </xdr:from>
    <xdr:to>
      <xdr:col>3</xdr:col>
      <xdr:colOff>295276</xdr:colOff>
      <xdr:row>102</xdr:row>
      <xdr:rowOff>112394</xdr:rowOff>
    </xdr:to>
    <xdr:sp macro="" textlink="">
      <xdr:nvSpPr>
        <xdr:cNvPr id="151" name="Right Arrow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12801601" y="1658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104</xdr:row>
      <xdr:rowOff>66675</xdr:rowOff>
    </xdr:from>
    <xdr:to>
      <xdr:col>3</xdr:col>
      <xdr:colOff>295276</xdr:colOff>
      <xdr:row>104</xdr:row>
      <xdr:rowOff>112394</xdr:rowOff>
    </xdr:to>
    <xdr:sp macro="" textlink="">
      <xdr:nvSpPr>
        <xdr:cNvPr id="153" name="Right Arrow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12801601" y="1658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105</xdr:row>
      <xdr:rowOff>19050</xdr:rowOff>
    </xdr:from>
    <xdr:to>
      <xdr:col>9</xdr:col>
      <xdr:colOff>295275</xdr:colOff>
      <xdr:row>105</xdr:row>
      <xdr:rowOff>161925</xdr:rowOff>
    </xdr:to>
    <xdr:sp macro="" textlink="">
      <xdr:nvSpPr>
        <xdr:cNvPr id="154" name="Curved Left Arrow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16135350" y="165354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105</xdr:row>
      <xdr:rowOff>66675</xdr:rowOff>
    </xdr:from>
    <xdr:to>
      <xdr:col>3</xdr:col>
      <xdr:colOff>295276</xdr:colOff>
      <xdr:row>105</xdr:row>
      <xdr:rowOff>112394</xdr:rowOff>
    </xdr:to>
    <xdr:sp macro="" textlink="">
      <xdr:nvSpPr>
        <xdr:cNvPr id="155" name="Right Arrow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12801601" y="17535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108</xdr:row>
      <xdr:rowOff>66675</xdr:rowOff>
    </xdr:from>
    <xdr:to>
      <xdr:col>3</xdr:col>
      <xdr:colOff>295276</xdr:colOff>
      <xdr:row>108</xdr:row>
      <xdr:rowOff>112394</xdr:rowOff>
    </xdr:to>
    <xdr:sp macro="" textlink="">
      <xdr:nvSpPr>
        <xdr:cNvPr id="156" name="Right Arrow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12801601" y="17535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111</xdr:row>
      <xdr:rowOff>66675</xdr:rowOff>
    </xdr:from>
    <xdr:to>
      <xdr:col>3</xdr:col>
      <xdr:colOff>295276</xdr:colOff>
      <xdr:row>111</xdr:row>
      <xdr:rowOff>112394</xdr:rowOff>
    </xdr:to>
    <xdr:sp macro="" textlink="">
      <xdr:nvSpPr>
        <xdr:cNvPr id="157" name="Right Arrow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12801601" y="18297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115</xdr:row>
      <xdr:rowOff>66675</xdr:rowOff>
    </xdr:from>
    <xdr:to>
      <xdr:col>3</xdr:col>
      <xdr:colOff>295276</xdr:colOff>
      <xdr:row>115</xdr:row>
      <xdr:rowOff>112394</xdr:rowOff>
    </xdr:to>
    <xdr:sp macro="" textlink="">
      <xdr:nvSpPr>
        <xdr:cNvPr id="158" name="Right Arrow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12801601" y="18869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120</xdr:row>
      <xdr:rowOff>66675</xdr:rowOff>
    </xdr:from>
    <xdr:to>
      <xdr:col>3</xdr:col>
      <xdr:colOff>295276</xdr:colOff>
      <xdr:row>120</xdr:row>
      <xdr:rowOff>112394</xdr:rowOff>
    </xdr:to>
    <xdr:sp macro="" textlink="">
      <xdr:nvSpPr>
        <xdr:cNvPr id="159" name="Right Arrow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12801601" y="19440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123</xdr:row>
      <xdr:rowOff>66675</xdr:rowOff>
    </xdr:from>
    <xdr:to>
      <xdr:col>3</xdr:col>
      <xdr:colOff>295276</xdr:colOff>
      <xdr:row>123</xdr:row>
      <xdr:rowOff>112394</xdr:rowOff>
    </xdr:to>
    <xdr:sp macro="" textlink="">
      <xdr:nvSpPr>
        <xdr:cNvPr id="160" name="Right Arrow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12801601" y="2039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124</xdr:row>
      <xdr:rowOff>66675</xdr:rowOff>
    </xdr:from>
    <xdr:to>
      <xdr:col>3</xdr:col>
      <xdr:colOff>295276</xdr:colOff>
      <xdr:row>124</xdr:row>
      <xdr:rowOff>112394</xdr:rowOff>
    </xdr:to>
    <xdr:sp macro="" textlink="">
      <xdr:nvSpPr>
        <xdr:cNvPr id="161" name="Right Arrow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12801601" y="2039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125</xdr:row>
      <xdr:rowOff>66675</xdr:rowOff>
    </xdr:from>
    <xdr:to>
      <xdr:col>3</xdr:col>
      <xdr:colOff>295276</xdr:colOff>
      <xdr:row>125</xdr:row>
      <xdr:rowOff>112394</xdr:rowOff>
    </xdr:to>
    <xdr:sp macro="" textlink="">
      <xdr:nvSpPr>
        <xdr:cNvPr id="162" name="Right Arrow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12801601" y="20393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128</xdr:row>
      <xdr:rowOff>66675</xdr:rowOff>
    </xdr:from>
    <xdr:to>
      <xdr:col>3</xdr:col>
      <xdr:colOff>295276</xdr:colOff>
      <xdr:row>128</xdr:row>
      <xdr:rowOff>112394</xdr:rowOff>
    </xdr:to>
    <xdr:sp macro="" textlink="">
      <xdr:nvSpPr>
        <xdr:cNvPr id="163" name="Right Arrow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12801601" y="21345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129</xdr:row>
      <xdr:rowOff>66675</xdr:rowOff>
    </xdr:from>
    <xdr:to>
      <xdr:col>3</xdr:col>
      <xdr:colOff>295276</xdr:colOff>
      <xdr:row>129</xdr:row>
      <xdr:rowOff>112394</xdr:rowOff>
    </xdr:to>
    <xdr:sp macro="" textlink="">
      <xdr:nvSpPr>
        <xdr:cNvPr id="164" name="Right Arrow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12801601" y="21345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130</xdr:row>
      <xdr:rowOff>66675</xdr:rowOff>
    </xdr:from>
    <xdr:to>
      <xdr:col>3</xdr:col>
      <xdr:colOff>295276</xdr:colOff>
      <xdr:row>130</xdr:row>
      <xdr:rowOff>112394</xdr:rowOff>
    </xdr:to>
    <xdr:sp macro="" textlink="">
      <xdr:nvSpPr>
        <xdr:cNvPr id="165" name="Right Arrow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12801601" y="21345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109</xdr:row>
      <xdr:rowOff>66675</xdr:rowOff>
    </xdr:from>
    <xdr:to>
      <xdr:col>3</xdr:col>
      <xdr:colOff>295276</xdr:colOff>
      <xdr:row>109</xdr:row>
      <xdr:rowOff>112394</xdr:rowOff>
    </xdr:to>
    <xdr:sp macro="" textlink="">
      <xdr:nvSpPr>
        <xdr:cNvPr id="167" name="Right Arrow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12801601" y="17726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111</xdr:row>
      <xdr:rowOff>19050</xdr:rowOff>
    </xdr:from>
    <xdr:to>
      <xdr:col>9</xdr:col>
      <xdr:colOff>295275</xdr:colOff>
      <xdr:row>111</xdr:row>
      <xdr:rowOff>161925</xdr:rowOff>
    </xdr:to>
    <xdr:sp macro="" textlink="">
      <xdr:nvSpPr>
        <xdr:cNvPr id="168" name="Curved Left Arrow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16135350" y="176784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113</xdr:row>
      <xdr:rowOff>66675</xdr:rowOff>
    </xdr:from>
    <xdr:to>
      <xdr:col>3</xdr:col>
      <xdr:colOff>295276</xdr:colOff>
      <xdr:row>113</xdr:row>
      <xdr:rowOff>112394</xdr:rowOff>
    </xdr:to>
    <xdr:sp macro="" textlink="">
      <xdr:nvSpPr>
        <xdr:cNvPr id="169" name="Right Arrow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12801601" y="18488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115</xdr:row>
      <xdr:rowOff>19050</xdr:rowOff>
    </xdr:from>
    <xdr:to>
      <xdr:col>9</xdr:col>
      <xdr:colOff>295275</xdr:colOff>
      <xdr:row>115</xdr:row>
      <xdr:rowOff>161925</xdr:rowOff>
    </xdr:to>
    <xdr:sp macro="" textlink="">
      <xdr:nvSpPr>
        <xdr:cNvPr id="170" name="Curved Left Arrow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16135350" y="184404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117</xdr:row>
      <xdr:rowOff>66675</xdr:rowOff>
    </xdr:from>
    <xdr:to>
      <xdr:col>3</xdr:col>
      <xdr:colOff>295276</xdr:colOff>
      <xdr:row>117</xdr:row>
      <xdr:rowOff>112394</xdr:rowOff>
    </xdr:to>
    <xdr:sp macro="" textlink="">
      <xdr:nvSpPr>
        <xdr:cNvPr id="171" name="Right Arrow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12801601" y="19059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117</xdr:row>
      <xdr:rowOff>19050</xdr:rowOff>
    </xdr:from>
    <xdr:to>
      <xdr:col>9</xdr:col>
      <xdr:colOff>295275</xdr:colOff>
      <xdr:row>117</xdr:row>
      <xdr:rowOff>161925</xdr:rowOff>
    </xdr:to>
    <xdr:sp macro="" textlink="">
      <xdr:nvSpPr>
        <xdr:cNvPr id="172" name="Curved Left Arrow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16135350" y="19011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119</xdr:row>
      <xdr:rowOff>66675</xdr:rowOff>
    </xdr:from>
    <xdr:to>
      <xdr:col>3</xdr:col>
      <xdr:colOff>295276</xdr:colOff>
      <xdr:row>119</xdr:row>
      <xdr:rowOff>112394</xdr:rowOff>
    </xdr:to>
    <xdr:sp macro="" textlink="">
      <xdr:nvSpPr>
        <xdr:cNvPr id="173" name="Right Arrow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12801601" y="19631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120</xdr:row>
      <xdr:rowOff>19050</xdr:rowOff>
    </xdr:from>
    <xdr:to>
      <xdr:col>9</xdr:col>
      <xdr:colOff>295275</xdr:colOff>
      <xdr:row>120</xdr:row>
      <xdr:rowOff>161925</xdr:rowOff>
    </xdr:to>
    <xdr:sp macro="" textlink="">
      <xdr:nvSpPr>
        <xdr:cNvPr id="174" name="Curved Left Arrow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16135350" y="195834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85726</xdr:colOff>
      <xdr:row>122</xdr:row>
      <xdr:rowOff>66675</xdr:rowOff>
    </xdr:from>
    <xdr:to>
      <xdr:col>3</xdr:col>
      <xdr:colOff>295276</xdr:colOff>
      <xdr:row>122</xdr:row>
      <xdr:rowOff>112394</xdr:rowOff>
    </xdr:to>
    <xdr:sp macro="" textlink="">
      <xdr:nvSpPr>
        <xdr:cNvPr id="175" name="Right Arrow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12801601" y="200120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126</xdr:row>
      <xdr:rowOff>66675</xdr:rowOff>
    </xdr:from>
    <xdr:to>
      <xdr:col>3</xdr:col>
      <xdr:colOff>295276</xdr:colOff>
      <xdr:row>126</xdr:row>
      <xdr:rowOff>112394</xdr:rowOff>
    </xdr:to>
    <xdr:sp macro="" textlink="">
      <xdr:nvSpPr>
        <xdr:cNvPr id="177" name="Right Arrow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12801601" y="205835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126</xdr:row>
      <xdr:rowOff>19050</xdr:rowOff>
    </xdr:from>
    <xdr:to>
      <xdr:col>9</xdr:col>
      <xdr:colOff>295275</xdr:colOff>
      <xdr:row>126</xdr:row>
      <xdr:rowOff>161925</xdr:rowOff>
    </xdr:to>
    <xdr:sp macro="" textlink="">
      <xdr:nvSpPr>
        <xdr:cNvPr id="178" name="Curved Left Arrow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16135350" y="20535900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76</xdr:row>
      <xdr:rowOff>78106</xdr:rowOff>
    </xdr:from>
    <xdr:to>
      <xdr:col>9</xdr:col>
      <xdr:colOff>314325</xdr:colOff>
      <xdr:row>76</xdr:row>
      <xdr:rowOff>133350</xdr:rowOff>
    </xdr:to>
    <xdr:sp macro="" textlink="">
      <xdr:nvSpPr>
        <xdr:cNvPr id="179" name="Left Arrow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16059150" y="110985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78</xdr:row>
      <xdr:rowOff>78106</xdr:rowOff>
    </xdr:from>
    <xdr:to>
      <xdr:col>9</xdr:col>
      <xdr:colOff>314325</xdr:colOff>
      <xdr:row>78</xdr:row>
      <xdr:rowOff>133350</xdr:rowOff>
    </xdr:to>
    <xdr:sp macro="" textlink="">
      <xdr:nvSpPr>
        <xdr:cNvPr id="180" name="Left Arrow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16059150" y="13165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80</xdr:row>
      <xdr:rowOff>78106</xdr:rowOff>
    </xdr:from>
    <xdr:to>
      <xdr:col>9</xdr:col>
      <xdr:colOff>314325</xdr:colOff>
      <xdr:row>80</xdr:row>
      <xdr:rowOff>133350</xdr:rowOff>
    </xdr:to>
    <xdr:sp macro="" textlink="">
      <xdr:nvSpPr>
        <xdr:cNvPr id="181" name="Left Arrow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16059150" y="13546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82</xdr:row>
      <xdr:rowOff>78106</xdr:rowOff>
    </xdr:from>
    <xdr:to>
      <xdr:col>9</xdr:col>
      <xdr:colOff>314325</xdr:colOff>
      <xdr:row>82</xdr:row>
      <xdr:rowOff>133350</xdr:rowOff>
    </xdr:to>
    <xdr:sp macro="" textlink="">
      <xdr:nvSpPr>
        <xdr:cNvPr id="182" name="Left Arrow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16059150" y="13927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84</xdr:row>
      <xdr:rowOff>78106</xdr:rowOff>
    </xdr:from>
    <xdr:to>
      <xdr:col>9</xdr:col>
      <xdr:colOff>314325</xdr:colOff>
      <xdr:row>84</xdr:row>
      <xdr:rowOff>133350</xdr:rowOff>
    </xdr:to>
    <xdr:sp macro="" textlink="">
      <xdr:nvSpPr>
        <xdr:cNvPr id="183" name="Left Arrow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16059150" y="14308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86</xdr:row>
      <xdr:rowOff>78106</xdr:rowOff>
    </xdr:from>
    <xdr:to>
      <xdr:col>9</xdr:col>
      <xdr:colOff>314325</xdr:colOff>
      <xdr:row>86</xdr:row>
      <xdr:rowOff>133350</xdr:rowOff>
    </xdr:to>
    <xdr:sp macro="" textlink="">
      <xdr:nvSpPr>
        <xdr:cNvPr id="184" name="Left Arrow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16059150" y="14689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88</xdr:row>
      <xdr:rowOff>78106</xdr:rowOff>
    </xdr:from>
    <xdr:to>
      <xdr:col>9</xdr:col>
      <xdr:colOff>314325</xdr:colOff>
      <xdr:row>88</xdr:row>
      <xdr:rowOff>133350</xdr:rowOff>
    </xdr:to>
    <xdr:sp macro="" textlink="">
      <xdr:nvSpPr>
        <xdr:cNvPr id="185" name="Left Arrow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16059150" y="15070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91</xdr:row>
      <xdr:rowOff>78106</xdr:rowOff>
    </xdr:from>
    <xdr:to>
      <xdr:col>9</xdr:col>
      <xdr:colOff>314325</xdr:colOff>
      <xdr:row>91</xdr:row>
      <xdr:rowOff>133350</xdr:rowOff>
    </xdr:to>
    <xdr:sp macro="" textlink="">
      <xdr:nvSpPr>
        <xdr:cNvPr id="186" name="Left Arrow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16059150" y="15451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118</xdr:row>
      <xdr:rowOff>78106</xdr:rowOff>
    </xdr:from>
    <xdr:to>
      <xdr:col>9</xdr:col>
      <xdr:colOff>314325</xdr:colOff>
      <xdr:row>118</xdr:row>
      <xdr:rowOff>133350</xdr:rowOff>
    </xdr:to>
    <xdr:sp macro="" textlink="">
      <xdr:nvSpPr>
        <xdr:cNvPr id="191" name="Left Arrow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16059150" y="19261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127</xdr:row>
      <xdr:rowOff>78106</xdr:rowOff>
    </xdr:from>
    <xdr:to>
      <xdr:col>9</xdr:col>
      <xdr:colOff>314325</xdr:colOff>
      <xdr:row>127</xdr:row>
      <xdr:rowOff>133350</xdr:rowOff>
    </xdr:to>
    <xdr:sp macro="" textlink="">
      <xdr:nvSpPr>
        <xdr:cNvPr id="194" name="Left Arrow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16059150" y="20785456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98</xdr:row>
      <xdr:rowOff>78106</xdr:rowOff>
    </xdr:from>
    <xdr:to>
      <xdr:col>9</xdr:col>
      <xdr:colOff>314325</xdr:colOff>
      <xdr:row>98</xdr:row>
      <xdr:rowOff>133350</xdr:rowOff>
    </xdr:to>
    <xdr:sp macro="" textlink="">
      <xdr:nvSpPr>
        <xdr:cNvPr id="152" name="Left Arrow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16125825" y="163944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97</xdr:row>
      <xdr:rowOff>19050</xdr:rowOff>
    </xdr:from>
    <xdr:to>
      <xdr:col>9</xdr:col>
      <xdr:colOff>295275</xdr:colOff>
      <xdr:row>97</xdr:row>
      <xdr:rowOff>161925</xdr:rowOff>
    </xdr:to>
    <xdr:sp macro="" textlink="">
      <xdr:nvSpPr>
        <xdr:cNvPr id="195" name="Curved Left Arrow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16202025" y="161448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106</xdr:row>
      <xdr:rowOff>78106</xdr:rowOff>
    </xdr:from>
    <xdr:to>
      <xdr:col>9</xdr:col>
      <xdr:colOff>314325</xdr:colOff>
      <xdr:row>106</xdr:row>
      <xdr:rowOff>133350</xdr:rowOff>
    </xdr:to>
    <xdr:sp macro="" textlink="">
      <xdr:nvSpPr>
        <xdr:cNvPr id="198" name="Left Arrow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16125825" y="175374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116</xdr:row>
      <xdr:rowOff>78106</xdr:rowOff>
    </xdr:from>
    <xdr:to>
      <xdr:col>9</xdr:col>
      <xdr:colOff>314325</xdr:colOff>
      <xdr:row>116</xdr:row>
      <xdr:rowOff>133350</xdr:rowOff>
    </xdr:to>
    <xdr:sp macro="" textlink="">
      <xdr:nvSpPr>
        <xdr:cNvPr id="199" name="Left Arrow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16125825" y="188709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112</xdr:row>
      <xdr:rowOff>78106</xdr:rowOff>
    </xdr:from>
    <xdr:to>
      <xdr:col>9</xdr:col>
      <xdr:colOff>314325</xdr:colOff>
      <xdr:row>112</xdr:row>
      <xdr:rowOff>133350</xdr:rowOff>
    </xdr:to>
    <xdr:sp macro="" textlink="">
      <xdr:nvSpPr>
        <xdr:cNvPr id="200" name="Left Arrow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16125825" y="177279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121</xdr:row>
      <xdr:rowOff>78106</xdr:rowOff>
    </xdr:from>
    <xdr:to>
      <xdr:col>9</xdr:col>
      <xdr:colOff>314325</xdr:colOff>
      <xdr:row>121</xdr:row>
      <xdr:rowOff>133350</xdr:rowOff>
    </xdr:to>
    <xdr:sp macro="" textlink="">
      <xdr:nvSpPr>
        <xdr:cNvPr id="201" name="Left Arrow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16125825" y="198234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96</xdr:row>
      <xdr:rowOff>66675</xdr:rowOff>
    </xdr:from>
    <xdr:to>
      <xdr:col>3</xdr:col>
      <xdr:colOff>295276</xdr:colOff>
      <xdr:row>96</xdr:row>
      <xdr:rowOff>112394</xdr:rowOff>
    </xdr:to>
    <xdr:sp macro="" textlink="">
      <xdr:nvSpPr>
        <xdr:cNvPr id="202" name="Right Arrow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12801601" y="163830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93</xdr:row>
      <xdr:rowOff>66675</xdr:rowOff>
    </xdr:from>
    <xdr:to>
      <xdr:col>3</xdr:col>
      <xdr:colOff>295276</xdr:colOff>
      <xdr:row>93</xdr:row>
      <xdr:rowOff>112394</xdr:rowOff>
    </xdr:to>
    <xdr:sp macro="" textlink="">
      <xdr:nvSpPr>
        <xdr:cNvPr id="203" name="Right Arrow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12801601" y="165735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100</xdr:row>
      <xdr:rowOff>66675</xdr:rowOff>
    </xdr:from>
    <xdr:to>
      <xdr:col>3</xdr:col>
      <xdr:colOff>295276</xdr:colOff>
      <xdr:row>100</xdr:row>
      <xdr:rowOff>112394</xdr:rowOff>
    </xdr:to>
    <xdr:sp macro="" textlink="">
      <xdr:nvSpPr>
        <xdr:cNvPr id="204" name="Right Arrow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12801601" y="165735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103</xdr:row>
      <xdr:rowOff>66675</xdr:rowOff>
    </xdr:from>
    <xdr:to>
      <xdr:col>3</xdr:col>
      <xdr:colOff>295276</xdr:colOff>
      <xdr:row>103</xdr:row>
      <xdr:rowOff>112394</xdr:rowOff>
    </xdr:to>
    <xdr:sp macro="" textlink="">
      <xdr:nvSpPr>
        <xdr:cNvPr id="205" name="Right Arrow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12801601" y="173355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107</xdr:row>
      <xdr:rowOff>66675</xdr:rowOff>
    </xdr:from>
    <xdr:to>
      <xdr:col>3</xdr:col>
      <xdr:colOff>295276</xdr:colOff>
      <xdr:row>107</xdr:row>
      <xdr:rowOff>112394</xdr:rowOff>
    </xdr:to>
    <xdr:sp macro="" textlink="">
      <xdr:nvSpPr>
        <xdr:cNvPr id="206" name="Right Arrow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12801601" y="179070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110</xdr:row>
      <xdr:rowOff>66675</xdr:rowOff>
    </xdr:from>
    <xdr:to>
      <xdr:col>3</xdr:col>
      <xdr:colOff>295276</xdr:colOff>
      <xdr:row>110</xdr:row>
      <xdr:rowOff>112394</xdr:rowOff>
    </xdr:to>
    <xdr:sp macro="" textlink="">
      <xdr:nvSpPr>
        <xdr:cNvPr id="207" name="Right Arrow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12801601" y="186690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114</xdr:row>
      <xdr:rowOff>66675</xdr:rowOff>
    </xdr:from>
    <xdr:to>
      <xdr:col>3</xdr:col>
      <xdr:colOff>295276</xdr:colOff>
      <xdr:row>114</xdr:row>
      <xdr:rowOff>112394</xdr:rowOff>
    </xdr:to>
    <xdr:sp macro="" textlink="">
      <xdr:nvSpPr>
        <xdr:cNvPr id="208" name="Right Arrow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12801601" y="192405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25</xdr:row>
      <xdr:rowOff>66675</xdr:rowOff>
    </xdr:from>
    <xdr:to>
      <xdr:col>3</xdr:col>
      <xdr:colOff>295276</xdr:colOff>
      <xdr:row>25</xdr:row>
      <xdr:rowOff>112394</xdr:rowOff>
    </xdr:to>
    <xdr:sp macro="" textlink="">
      <xdr:nvSpPr>
        <xdr:cNvPr id="209" name="Right Arrow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12801601" y="50768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29</xdr:row>
      <xdr:rowOff>66675</xdr:rowOff>
    </xdr:from>
    <xdr:to>
      <xdr:col>3</xdr:col>
      <xdr:colOff>295276</xdr:colOff>
      <xdr:row>29</xdr:row>
      <xdr:rowOff>112394</xdr:rowOff>
    </xdr:to>
    <xdr:sp macro="" textlink="">
      <xdr:nvSpPr>
        <xdr:cNvPr id="210" name="Right Arrow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12801601" y="52673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32</xdr:row>
      <xdr:rowOff>66675</xdr:rowOff>
    </xdr:from>
    <xdr:to>
      <xdr:col>3</xdr:col>
      <xdr:colOff>295276</xdr:colOff>
      <xdr:row>32</xdr:row>
      <xdr:rowOff>112394</xdr:rowOff>
    </xdr:to>
    <xdr:sp macro="" textlink="">
      <xdr:nvSpPr>
        <xdr:cNvPr id="211" name="Right Arrow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12801601" y="60293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36</xdr:row>
      <xdr:rowOff>66675</xdr:rowOff>
    </xdr:from>
    <xdr:to>
      <xdr:col>3</xdr:col>
      <xdr:colOff>295276</xdr:colOff>
      <xdr:row>36</xdr:row>
      <xdr:rowOff>112394</xdr:rowOff>
    </xdr:to>
    <xdr:sp macro="" textlink="">
      <xdr:nvSpPr>
        <xdr:cNvPr id="212" name="Right Arrow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12801601" y="66008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39</xdr:row>
      <xdr:rowOff>66675</xdr:rowOff>
    </xdr:from>
    <xdr:to>
      <xdr:col>3</xdr:col>
      <xdr:colOff>295276</xdr:colOff>
      <xdr:row>39</xdr:row>
      <xdr:rowOff>112394</xdr:rowOff>
    </xdr:to>
    <xdr:sp macro="" textlink="">
      <xdr:nvSpPr>
        <xdr:cNvPr id="213" name="Right Arrow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12801601" y="73628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45</xdr:row>
      <xdr:rowOff>66675</xdr:rowOff>
    </xdr:from>
    <xdr:to>
      <xdr:col>3</xdr:col>
      <xdr:colOff>295276</xdr:colOff>
      <xdr:row>45</xdr:row>
      <xdr:rowOff>112394</xdr:rowOff>
    </xdr:to>
    <xdr:sp macro="" textlink="">
      <xdr:nvSpPr>
        <xdr:cNvPr id="214" name="Right Arrow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12801601" y="79343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48</xdr:row>
      <xdr:rowOff>66675</xdr:rowOff>
    </xdr:from>
    <xdr:to>
      <xdr:col>3</xdr:col>
      <xdr:colOff>295276</xdr:colOff>
      <xdr:row>48</xdr:row>
      <xdr:rowOff>112394</xdr:rowOff>
    </xdr:to>
    <xdr:sp macro="" textlink="">
      <xdr:nvSpPr>
        <xdr:cNvPr id="215" name="Right Arrow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12801601" y="8696325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43</xdr:row>
      <xdr:rowOff>66675</xdr:rowOff>
    </xdr:from>
    <xdr:to>
      <xdr:col>3</xdr:col>
      <xdr:colOff>295276</xdr:colOff>
      <xdr:row>43</xdr:row>
      <xdr:rowOff>112394</xdr:rowOff>
    </xdr:to>
    <xdr:sp macro="" textlink="">
      <xdr:nvSpPr>
        <xdr:cNvPr id="176" name="Right Arrow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12801601" y="88773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85726</xdr:colOff>
      <xdr:row>54</xdr:row>
      <xdr:rowOff>66675</xdr:rowOff>
    </xdr:from>
    <xdr:to>
      <xdr:col>3</xdr:col>
      <xdr:colOff>295276</xdr:colOff>
      <xdr:row>54</xdr:row>
      <xdr:rowOff>112394</xdr:rowOff>
    </xdr:to>
    <xdr:sp macro="" textlink="">
      <xdr:nvSpPr>
        <xdr:cNvPr id="197" name="Right Arrow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12801601" y="11163300"/>
          <a:ext cx="209550" cy="45719"/>
        </a:xfrm>
        <a:prstGeom prst="rightArrow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27</xdr:row>
      <xdr:rowOff>78106</xdr:rowOff>
    </xdr:from>
    <xdr:to>
      <xdr:col>9</xdr:col>
      <xdr:colOff>314325</xdr:colOff>
      <xdr:row>27</xdr:row>
      <xdr:rowOff>133350</xdr:rowOff>
    </xdr:to>
    <xdr:sp macro="" textlink="">
      <xdr:nvSpPr>
        <xdr:cNvPr id="217" name="Left Arrow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16125825" y="64122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46</xdr:row>
      <xdr:rowOff>78106</xdr:rowOff>
    </xdr:from>
    <xdr:to>
      <xdr:col>9</xdr:col>
      <xdr:colOff>314325</xdr:colOff>
      <xdr:row>46</xdr:row>
      <xdr:rowOff>133350</xdr:rowOff>
    </xdr:to>
    <xdr:sp macro="" textlink="">
      <xdr:nvSpPr>
        <xdr:cNvPr id="218" name="Left Arrow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16125825" y="104127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133350</xdr:colOff>
      <xdr:row>51</xdr:row>
      <xdr:rowOff>78106</xdr:rowOff>
    </xdr:from>
    <xdr:to>
      <xdr:col>9</xdr:col>
      <xdr:colOff>314325</xdr:colOff>
      <xdr:row>51</xdr:row>
      <xdr:rowOff>133350</xdr:rowOff>
    </xdr:to>
    <xdr:sp macro="" textlink="">
      <xdr:nvSpPr>
        <xdr:cNvPr id="219" name="Left Arrow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16125825" y="115557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50</xdr:row>
      <xdr:rowOff>19050</xdr:rowOff>
    </xdr:from>
    <xdr:to>
      <xdr:col>9</xdr:col>
      <xdr:colOff>295275</xdr:colOff>
      <xdr:row>50</xdr:row>
      <xdr:rowOff>161925</xdr:rowOff>
    </xdr:to>
    <xdr:sp macro="" textlink="">
      <xdr:nvSpPr>
        <xdr:cNvPr id="220" name="Curved Left Arrow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16202025" y="11306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45</xdr:row>
      <xdr:rowOff>19050</xdr:rowOff>
    </xdr:from>
    <xdr:to>
      <xdr:col>9</xdr:col>
      <xdr:colOff>295275</xdr:colOff>
      <xdr:row>45</xdr:row>
      <xdr:rowOff>161925</xdr:rowOff>
    </xdr:to>
    <xdr:sp macro="" textlink="">
      <xdr:nvSpPr>
        <xdr:cNvPr id="221" name="Curved Left Arrow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16202025" y="8258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77</xdr:row>
      <xdr:rowOff>19050</xdr:rowOff>
    </xdr:from>
    <xdr:to>
      <xdr:col>9</xdr:col>
      <xdr:colOff>295275</xdr:colOff>
      <xdr:row>77</xdr:row>
      <xdr:rowOff>161925</xdr:rowOff>
    </xdr:to>
    <xdr:sp macro="" textlink="">
      <xdr:nvSpPr>
        <xdr:cNvPr id="222" name="Curved Left Arrow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16202025" y="14354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79</xdr:row>
      <xdr:rowOff>19050</xdr:rowOff>
    </xdr:from>
    <xdr:to>
      <xdr:col>9</xdr:col>
      <xdr:colOff>295275</xdr:colOff>
      <xdr:row>79</xdr:row>
      <xdr:rowOff>161925</xdr:rowOff>
    </xdr:to>
    <xdr:sp macro="" textlink="">
      <xdr:nvSpPr>
        <xdr:cNvPr id="223" name="Curved Left Arrow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16202025" y="14735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79</xdr:row>
      <xdr:rowOff>19050</xdr:rowOff>
    </xdr:from>
    <xdr:to>
      <xdr:col>9</xdr:col>
      <xdr:colOff>295275</xdr:colOff>
      <xdr:row>79</xdr:row>
      <xdr:rowOff>161925</xdr:rowOff>
    </xdr:to>
    <xdr:sp macro="" textlink="">
      <xdr:nvSpPr>
        <xdr:cNvPr id="224" name="Curved Left Arrow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16202025" y="14735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83</xdr:row>
      <xdr:rowOff>19050</xdr:rowOff>
    </xdr:from>
    <xdr:to>
      <xdr:col>9</xdr:col>
      <xdr:colOff>295275</xdr:colOff>
      <xdr:row>83</xdr:row>
      <xdr:rowOff>161925</xdr:rowOff>
    </xdr:to>
    <xdr:sp macro="" textlink="">
      <xdr:nvSpPr>
        <xdr:cNvPr id="225" name="Curved Left Arrow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16202025" y="15497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85</xdr:row>
      <xdr:rowOff>19050</xdr:rowOff>
    </xdr:from>
    <xdr:to>
      <xdr:col>9</xdr:col>
      <xdr:colOff>295275</xdr:colOff>
      <xdr:row>85</xdr:row>
      <xdr:rowOff>161925</xdr:rowOff>
    </xdr:to>
    <xdr:sp macro="" textlink="">
      <xdr:nvSpPr>
        <xdr:cNvPr id="226" name="Curved Left Arrow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16202025" y="15878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85</xdr:row>
      <xdr:rowOff>19050</xdr:rowOff>
    </xdr:from>
    <xdr:to>
      <xdr:col>9</xdr:col>
      <xdr:colOff>295275</xdr:colOff>
      <xdr:row>85</xdr:row>
      <xdr:rowOff>161925</xdr:rowOff>
    </xdr:to>
    <xdr:sp macro="" textlink="">
      <xdr:nvSpPr>
        <xdr:cNvPr id="227" name="Curved Left Arrow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16202025" y="15878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87</xdr:row>
      <xdr:rowOff>19050</xdr:rowOff>
    </xdr:from>
    <xdr:to>
      <xdr:col>9</xdr:col>
      <xdr:colOff>295275</xdr:colOff>
      <xdr:row>87</xdr:row>
      <xdr:rowOff>161925</xdr:rowOff>
    </xdr:to>
    <xdr:sp macro="" textlink="">
      <xdr:nvSpPr>
        <xdr:cNvPr id="228" name="Curved Left Arrow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16202025" y="16259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87</xdr:row>
      <xdr:rowOff>19050</xdr:rowOff>
    </xdr:from>
    <xdr:to>
      <xdr:col>9</xdr:col>
      <xdr:colOff>295275</xdr:colOff>
      <xdr:row>87</xdr:row>
      <xdr:rowOff>161925</xdr:rowOff>
    </xdr:to>
    <xdr:sp macro="" textlink="">
      <xdr:nvSpPr>
        <xdr:cNvPr id="229" name="Curved Left Arrow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16202025" y="16259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209550</xdr:colOff>
      <xdr:row>87</xdr:row>
      <xdr:rowOff>19050</xdr:rowOff>
    </xdr:from>
    <xdr:to>
      <xdr:col>9</xdr:col>
      <xdr:colOff>295275</xdr:colOff>
      <xdr:row>87</xdr:row>
      <xdr:rowOff>161925</xdr:rowOff>
    </xdr:to>
    <xdr:sp macro="" textlink="">
      <xdr:nvSpPr>
        <xdr:cNvPr id="230" name="Curved Left Arrow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16202025" y="16259175"/>
          <a:ext cx="85725" cy="1428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133350</xdr:colOff>
      <xdr:row>121</xdr:row>
      <xdr:rowOff>78106</xdr:rowOff>
    </xdr:from>
    <xdr:to>
      <xdr:col>9</xdr:col>
      <xdr:colOff>314325</xdr:colOff>
      <xdr:row>121</xdr:row>
      <xdr:rowOff>133350</xdr:rowOff>
    </xdr:to>
    <xdr:sp macro="" textlink="">
      <xdr:nvSpPr>
        <xdr:cNvPr id="236" name="Left Arrow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16125825" y="23747731"/>
          <a:ext cx="180975" cy="55244"/>
        </a:xfrm>
        <a:prstGeom prst="lef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count(N5:N35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61"/>
  <sheetViews>
    <sheetView tabSelected="1" topLeftCell="B62" zoomScaleNormal="100" zoomScaleSheetLayoutView="100" workbookViewId="0">
      <selection activeCell="D65" sqref="D65"/>
    </sheetView>
  </sheetViews>
  <sheetFormatPr defaultRowHeight="15" x14ac:dyDescent="0.25"/>
  <cols>
    <col min="1" max="1" width="21.42578125" customWidth="1"/>
    <col min="2" max="2" width="36.7109375" customWidth="1"/>
    <col min="3" max="7" width="14.7109375" customWidth="1"/>
    <col min="8" max="8" width="15" customWidth="1"/>
    <col min="9" max="9" width="36.7109375" customWidth="1"/>
    <col min="10" max="14" width="14.7109375" customWidth="1"/>
    <col min="15" max="15" width="14.140625" customWidth="1"/>
    <col min="16" max="16" width="14" customWidth="1"/>
    <col min="17" max="17" width="10.140625" customWidth="1"/>
    <col min="18" max="18" width="15.5703125" customWidth="1"/>
    <col min="19" max="19" width="1.42578125" customWidth="1"/>
    <col min="20" max="20" width="9" customWidth="1"/>
    <col min="21" max="21" width="14.28515625" bestFit="1" customWidth="1"/>
    <col min="22" max="22" width="13.140625" customWidth="1"/>
    <col min="23" max="23" width="10.140625" bestFit="1" customWidth="1"/>
  </cols>
  <sheetData>
    <row r="1" spans="1:22" ht="18.75" x14ac:dyDescent="0.3">
      <c r="A1" s="45" t="s">
        <v>73</v>
      </c>
    </row>
    <row r="2" spans="1:22" ht="17.25" customHeight="1" x14ac:dyDescent="0.3">
      <c r="A2" s="29"/>
      <c r="P2" s="99">
        <v>1.4583333333333332E-2</v>
      </c>
    </row>
    <row r="3" spans="1:22" x14ac:dyDescent="0.25">
      <c r="A3" s="54"/>
      <c r="B3" s="54"/>
      <c r="C3" s="54"/>
      <c r="D3" s="54"/>
      <c r="E3" s="96">
        <v>1.1111111111111112E-2</v>
      </c>
      <c r="F3" s="54"/>
      <c r="G3" s="55"/>
      <c r="H3" s="54"/>
      <c r="I3" s="56">
        <v>2.7777777777777776E-2</v>
      </c>
      <c r="J3" s="56">
        <v>9.0277777777777787E-3</v>
      </c>
      <c r="K3" s="56">
        <v>3.472222222222222E-3</v>
      </c>
      <c r="L3" s="56">
        <v>2.4305555555555556E-2</v>
      </c>
      <c r="M3" s="56">
        <v>6.9444444444444441E-3</v>
      </c>
      <c r="N3" s="54"/>
      <c r="O3" s="54"/>
      <c r="P3" s="96">
        <v>2.6388888888888889E-2</v>
      </c>
      <c r="Q3" s="54"/>
      <c r="R3" s="54"/>
    </row>
    <row r="4" spans="1:22" ht="52.5" thickBot="1" x14ac:dyDescent="0.3">
      <c r="A4" s="57" t="s">
        <v>48</v>
      </c>
      <c r="B4" s="58" t="s">
        <v>1</v>
      </c>
      <c r="C4" s="58" t="s">
        <v>2</v>
      </c>
      <c r="D4" s="59" t="s">
        <v>0</v>
      </c>
      <c r="E4" s="58" t="s">
        <v>78</v>
      </c>
      <c r="F4" s="58" t="s">
        <v>3</v>
      </c>
      <c r="G4" s="60" t="s">
        <v>4</v>
      </c>
      <c r="H4" s="61"/>
      <c r="I4" s="58" t="s">
        <v>5</v>
      </c>
      <c r="J4" s="58" t="s">
        <v>6</v>
      </c>
      <c r="K4" s="58" t="s">
        <v>7</v>
      </c>
      <c r="L4" s="58" t="s">
        <v>8</v>
      </c>
      <c r="M4" s="58" t="s">
        <v>9</v>
      </c>
      <c r="N4" s="58" t="s">
        <v>10</v>
      </c>
      <c r="O4" s="58" t="s">
        <v>57</v>
      </c>
      <c r="P4" s="58" t="s">
        <v>79</v>
      </c>
      <c r="Q4" s="58" t="s">
        <v>11</v>
      </c>
      <c r="R4" s="58" t="s">
        <v>12</v>
      </c>
      <c r="U4" s="109" t="s">
        <v>101</v>
      </c>
      <c r="V4" s="109" t="s">
        <v>102</v>
      </c>
    </row>
    <row r="5" spans="1:22" x14ac:dyDescent="0.25">
      <c r="B5" s="5">
        <v>12</v>
      </c>
      <c r="C5" s="5">
        <v>1</v>
      </c>
      <c r="D5" s="5">
        <v>1</v>
      </c>
      <c r="E5" s="97">
        <f>F5-$E$3</f>
        <v>0.19722222222222224</v>
      </c>
      <c r="F5" s="81">
        <v>0.20833333333333334</v>
      </c>
      <c r="G5" s="87"/>
      <c r="H5" s="81"/>
      <c r="I5" s="81">
        <f t="shared" ref="I5:I42" si="0">$F5+$I$3</f>
        <v>0.2361111111111111</v>
      </c>
      <c r="J5" s="81">
        <f t="shared" ref="J5:M42" si="1">I5+J$3</f>
        <v>0.24513888888888888</v>
      </c>
      <c r="K5" s="81">
        <f t="shared" si="1"/>
        <v>0.24861111111111109</v>
      </c>
      <c r="L5" s="81">
        <f t="shared" si="1"/>
        <v>0.27291666666666664</v>
      </c>
      <c r="M5" s="81">
        <f t="shared" si="1"/>
        <v>0.27986111111111106</v>
      </c>
      <c r="N5" s="81">
        <f>M5</f>
        <v>0.27986111111111106</v>
      </c>
      <c r="O5" s="93">
        <v>1</v>
      </c>
      <c r="P5" s="93"/>
      <c r="Q5" s="2"/>
    </row>
    <row r="6" spans="1:22" x14ac:dyDescent="0.25">
      <c r="B6" s="5">
        <v>12</v>
      </c>
      <c r="C6" s="5">
        <f>C5+1</f>
        <v>2</v>
      </c>
      <c r="D6" s="5">
        <v>2</v>
      </c>
      <c r="E6" s="97">
        <f t="shared" ref="E6:E18" si="2">F6-$E$3</f>
        <v>0.2076388888888889</v>
      </c>
      <c r="F6" s="81">
        <f t="shared" ref="F6:F42" si="3">F5+G6</f>
        <v>0.21875</v>
      </c>
      <c r="G6" s="37">
        <v>1.0416666666666666E-2</v>
      </c>
      <c r="H6" s="81"/>
      <c r="I6" s="81">
        <f t="shared" si="0"/>
        <v>0.24652777777777779</v>
      </c>
      <c r="J6" s="81">
        <f t="shared" si="1"/>
        <v>0.25555555555555559</v>
      </c>
      <c r="K6" s="81">
        <f t="shared" si="1"/>
        <v>0.2590277777777778</v>
      </c>
      <c r="L6" s="81">
        <f t="shared" si="1"/>
        <v>0.28333333333333338</v>
      </c>
      <c r="M6" s="81">
        <f t="shared" si="1"/>
        <v>0.2902777777777778</v>
      </c>
      <c r="N6" s="81">
        <f t="shared" ref="N6:N42" si="4">M6</f>
        <v>0.2902777777777778</v>
      </c>
      <c r="O6" s="93">
        <v>2</v>
      </c>
      <c r="P6" s="93"/>
      <c r="Q6" s="2"/>
    </row>
    <row r="7" spans="1:22" x14ac:dyDescent="0.25">
      <c r="B7" s="5">
        <v>12</v>
      </c>
      <c r="C7" s="5">
        <f t="shared" ref="C7:C42" si="5">C6+1</f>
        <v>3</v>
      </c>
      <c r="D7" s="5">
        <v>3</v>
      </c>
      <c r="E7" s="97">
        <f t="shared" si="2"/>
        <v>0.21805555555555556</v>
      </c>
      <c r="F7" s="81">
        <f t="shared" si="3"/>
        <v>0.22916666666666666</v>
      </c>
      <c r="G7" s="37">
        <v>1.0416666666666666E-2</v>
      </c>
      <c r="H7" s="81"/>
      <c r="I7" s="81">
        <f t="shared" si="0"/>
        <v>0.25694444444444442</v>
      </c>
      <c r="J7" s="81">
        <f t="shared" si="1"/>
        <v>0.26597222222222222</v>
      </c>
      <c r="K7" s="81">
        <f t="shared" si="1"/>
        <v>0.26944444444444443</v>
      </c>
      <c r="L7" s="81">
        <f t="shared" si="1"/>
        <v>0.29375000000000001</v>
      </c>
      <c r="M7" s="81">
        <f t="shared" si="1"/>
        <v>0.30069444444444443</v>
      </c>
      <c r="N7" s="81">
        <f t="shared" si="4"/>
        <v>0.30069444444444443</v>
      </c>
      <c r="O7" s="93">
        <f t="shared" ref="O7:O10" si="6">O6+1</f>
        <v>3</v>
      </c>
      <c r="P7" s="93"/>
      <c r="Q7" s="2"/>
    </row>
    <row r="8" spans="1:22" x14ac:dyDescent="0.25">
      <c r="B8" s="5">
        <f t="shared" ref="B8:B9" si="7">ROUND(48*0.5,0)</f>
        <v>24</v>
      </c>
      <c r="C8" s="5">
        <f t="shared" si="5"/>
        <v>4</v>
      </c>
      <c r="D8" s="5">
        <v>4</v>
      </c>
      <c r="E8" s="97">
        <f>F8-$E$3</f>
        <v>0.22847222222222222</v>
      </c>
      <c r="F8" s="81">
        <f t="shared" si="3"/>
        <v>0.23958333333333331</v>
      </c>
      <c r="G8" s="37">
        <v>1.0416666666666666E-2</v>
      </c>
      <c r="H8" s="81"/>
      <c r="I8" s="81">
        <f t="shared" si="0"/>
        <v>0.2673611111111111</v>
      </c>
      <c r="J8" s="81">
        <f t="shared" si="1"/>
        <v>0.27638888888888891</v>
      </c>
      <c r="K8" s="81">
        <f t="shared" si="1"/>
        <v>0.27986111111111112</v>
      </c>
      <c r="L8" s="81">
        <f t="shared" si="1"/>
        <v>0.3041666666666667</v>
      </c>
      <c r="M8" s="81">
        <f t="shared" si="1"/>
        <v>0.31111111111111112</v>
      </c>
      <c r="N8" s="81">
        <f t="shared" si="4"/>
        <v>0.31111111111111112</v>
      </c>
      <c r="O8" s="93">
        <f t="shared" si="6"/>
        <v>4</v>
      </c>
      <c r="P8" s="93"/>
      <c r="Q8" s="2"/>
    </row>
    <row r="9" spans="1:22" x14ac:dyDescent="0.25">
      <c r="B9" s="5">
        <f t="shared" si="7"/>
        <v>24</v>
      </c>
      <c r="C9" s="5">
        <f t="shared" si="5"/>
        <v>5</v>
      </c>
      <c r="D9" s="5">
        <v>5</v>
      </c>
      <c r="E9" s="97">
        <f t="shared" si="2"/>
        <v>0.23888888888888887</v>
      </c>
      <c r="F9" s="81">
        <f t="shared" si="3"/>
        <v>0.24999999999999997</v>
      </c>
      <c r="G9" s="37">
        <v>1.0416666666666666E-2</v>
      </c>
      <c r="H9" s="81"/>
      <c r="I9" s="81">
        <f t="shared" si="0"/>
        <v>0.27777777777777773</v>
      </c>
      <c r="J9" s="81">
        <f t="shared" si="1"/>
        <v>0.28680555555555554</v>
      </c>
      <c r="K9" s="81">
        <f t="shared" si="1"/>
        <v>0.29027777777777775</v>
      </c>
      <c r="L9" s="81">
        <f t="shared" si="1"/>
        <v>0.31458333333333333</v>
      </c>
      <c r="M9" s="81">
        <f t="shared" si="1"/>
        <v>0.32152777777777775</v>
      </c>
      <c r="N9" s="81">
        <f t="shared" si="4"/>
        <v>0.32152777777777775</v>
      </c>
      <c r="O9" s="93">
        <f t="shared" si="6"/>
        <v>5</v>
      </c>
      <c r="P9" s="93"/>
      <c r="Q9" s="2"/>
    </row>
    <row r="10" spans="1:22" x14ac:dyDescent="0.25">
      <c r="B10" s="5">
        <v>24</v>
      </c>
      <c r="C10" s="5">
        <f t="shared" si="5"/>
        <v>6</v>
      </c>
      <c r="D10" s="5">
        <v>6</v>
      </c>
      <c r="E10" s="97">
        <f t="shared" si="2"/>
        <v>0.24583333333333332</v>
      </c>
      <c r="F10" s="81">
        <f t="shared" si="3"/>
        <v>0.25694444444444442</v>
      </c>
      <c r="G10" s="37">
        <v>6.9444444444444441E-3</v>
      </c>
      <c r="H10" s="81"/>
      <c r="I10" s="81">
        <f t="shared" si="0"/>
        <v>0.28472222222222221</v>
      </c>
      <c r="J10" s="81">
        <f t="shared" si="1"/>
        <v>0.29375000000000001</v>
      </c>
      <c r="K10" s="82">
        <f t="shared" si="1"/>
        <v>0.29722222222222222</v>
      </c>
      <c r="L10" s="82">
        <f t="shared" si="1"/>
        <v>0.3215277777777778</v>
      </c>
      <c r="M10" s="82">
        <f t="shared" si="1"/>
        <v>0.32847222222222222</v>
      </c>
      <c r="N10" s="82">
        <f t="shared" si="4"/>
        <v>0.32847222222222222</v>
      </c>
      <c r="O10" s="93">
        <f t="shared" si="6"/>
        <v>6</v>
      </c>
      <c r="P10" s="93"/>
      <c r="Q10" s="2"/>
    </row>
    <row r="11" spans="1:22" x14ac:dyDescent="0.25">
      <c r="B11" s="5">
        <v>24</v>
      </c>
      <c r="C11" s="5">
        <f t="shared" si="5"/>
        <v>7</v>
      </c>
      <c r="D11" s="5">
        <v>7</v>
      </c>
      <c r="E11" s="97">
        <f>F11-$E$3</f>
        <v>0.25277777777777771</v>
      </c>
      <c r="F11" s="81">
        <f t="shared" si="3"/>
        <v>0.26388888888888884</v>
      </c>
      <c r="G11" s="37">
        <v>6.9444444444444441E-3</v>
      </c>
      <c r="H11" s="81"/>
      <c r="I11" s="81">
        <f t="shared" si="0"/>
        <v>0.29166666666666663</v>
      </c>
      <c r="J11" s="81">
        <f t="shared" si="1"/>
        <v>0.30069444444444443</v>
      </c>
      <c r="K11" s="83">
        <f t="shared" si="1"/>
        <v>0.30416666666666664</v>
      </c>
      <c r="L11" s="83">
        <f t="shared" si="1"/>
        <v>0.32847222222222222</v>
      </c>
      <c r="M11" s="83">
        <f t="shared" si="1"/>
        <v>0.33541666666666664</v>
      </c>
      <c r="N11" s="83">
        <f t="shared" si="4"/>
        <v>0.33541666666666664</v>
      </c>
      <c r="O11" s="93"/>
      <c r="P11" s="98">
        <f>J11+$P$3</f>
        <v>0.32708333333333334</v>
      </c>
      <c r="Q11" s="2">
        <f>P11-E11</f>
        <v>7.4305555555555625E-2</v>
      </c>
      <c r="R11" s="4">
        <f>Q11*24</f>
        <v>1.783333333333335</v>
      </c>
      <c r="U11" s="110">
        <f>J11-F11</f>
        <v>3.6805555555555591E-2</v>
      </c>
      <c r="V11" s="4">
        <f>U11*24</f>
        <v>0.88333333333333419</v>
      </c>
    </row>
    <row r="12" spans="1:22" x14ac:dyDescent="0.25">
      <c r="B12" s="5">
        <v>24</v>
      </c>
      <c r="C12" s="5">
        <f t="shared" si="5"/>
        <v>8</v>
      </c>
      <c r="D12" s="5">
        <v>8</v>
      </c>
      <c r="E12" s="97">
        <f>F12-$E$3</f>
        <v>0.25972222222222213</v>
      </c>
      <c r="F12" s="81">
        <f t="shared" si="3"/>
        <v>0.27083333333333326</v>
      </c>
      <c r="G12" s="37">
        <v>6.9444444444444441E-3</v>
      </c>
      <c r="H12" s="81"/>
      <c r="I12" s="81">
        <f t="shared" si="0"/>
        <v>0.29861111111111105</v>
      </c>
      <c r="J12" s="81">
        <f t="shared" si="1"/>
        <v>0.30763888888888885</v>
      </c>
      <c r="K12" s="81">
        <f t="shared" si="1"/>
        <v>0.31111111111111106</v>
      </c>
      <c r="L12" s="81">
        <f t="shared" si="1"/>
        <v>0.33541666666666664</v>
      </c>
      <c r="M12" s="81">
        <f t="shared" si="1"/>
        <v>0.34236111111111106</v>
      </c>
      <c r="N12" s="81">
        <f t="shared" si="4"/>
        <v>0.34236111111111106</v>
      </c>
      <c r="O12" s="93">
        <v>7</v>
      </c>
      <c r="P12" s="93"/>
      <c r="U12" s="110"/>
    </row>
    <row r="13" spans="1:22" x14ac:dyDescent="0.25">
      <c r="B13" s="5">
        <f t="shared" ref="B13:B18" si="8">ROUND(48*0.5,0)</f>
        <v>24</v>
      </c>
      <c r="C13" s="5">
        <f t="shared" si="5"/>
        <v>9</v>
      </c>
      <c r="D13" s="5">
        <v>9</v>
      </c>
      <c r="E13" s="97">
        <f t="shared" si="2"/>
        <v>0.26319444444444434</v>
      </c>
      <c r="F13" s="81">
        <f t="shared" si="3"/>
        <v>0.27430555555555547</v>
      </c>
      <c r="G13" s="37">
        <v>3.472222222222222E-3</v>
      </c>
      <c r="H13" s="81"/>
      <c r="I13" s="81">
        <f t="shared" si="0"/>
        <v>0.30208333333333326</v>
      </c>
      <c r="J13" s="81">
        <f t="shared" si="1"/>
        <v>0.31111111111111106</v>
      </c>
      <c r="K13" s="84">
        <f t="shared" si="1"/>
        <v>0.31458333333333327</v>
      </c>
      <c r="L13" s="84">
        <f t="shared" si="1"/>
        <v>0.33888888888888885</v>
      </c>
      <c r="M13" s="84">
        <f t="shared" si="1"/>
        <v>0.34583333333333327</v>
      </c>
      <c r="N13" s="84">
        <f t="shared" si="4"/>
        <v>0.34583333333333327</v>
      </c>
      <c r="O13" s="94"/>
      <c r="P13" s="98">
        <f>J13+$P$3</f>
        <v>0.33749999999999997</v>
      </c>
      <c r="Q13" s="2">
        <f>P13-E13</f>
        <v>7.4305555555555625E-2</v>
      </c>
      <c r="R13" s="4">
        <f>Q13*24</f>
        <v>1.783333333333335</v>
      </c>
      <c r="U13" s="110">
        <f t="shared" ref="U13:U37" si="9">J13-F13</f>
        <v>3.6805555555555591E-2</v>
      </c>
      <c r="V13" s="4">
        <f t="shared" ref="V13:V42" si="10">U13*24</f>
        <v>0.88333333333333419</v>
      </c>
    </row>
    <row r="14" spans="1:22" x14ac:dyDescent="0.25">
      <c r="B14" s="5">
        <f t="shared" si="8"/>
        <v>24</v>
      </c>
      <c r="C14" s="5">
        <f t="shared" si="5"/>
        <v>10</v>
      </c>
      <c r="D14" s="5">
        <v>10</v>
      </c>
      <c r="E14" s="97">
        <f t="shared" si="2"/>
        <v>0.26666666666666655</v>
      </c>
      <c r="F14" s="81">
        <f t="shared" si="3"/>
        <v>0.27777777777777768</v>
      </c>
      <c r="G14" s="37">
        <v>3.472222222222222E-3</v>
      </c>
      <c r="H14" s="81"/>
      <c r="I14" s="81">
        <f t="shared" si="0"/>
        <v>0.30555555555555547</v>
      </c>
      <c r="J14" s="81">
        <f t="shared" si="1"/>
        <v>0.31458333333333327</v>
      </c>
      <c r="K14" s="84">
        <f t="shared" si="1"/>
        <v>0.31805555555555548</v>
      </c>
      <c r="L14" s="84">
        <f t="shared" si="1"/>
        <v>0.34236111111111106</v>
      </c>
      <c r="M14" s="84">
        <f t="shared" si="1"/>
        <v>0.34930555555555548</v>
      </c>
      <c r="N14" s="84">
        <f t="shared" si="4"/>
        <v>0.34930555555555548</v>
      </c>
      <c r="O14" s="94"/>
      <c r="P14" s="98">
        <f>J14+$P$3</f>
        <v>0.34097222222222218</v>
      </c>
      <c r="Q14" s="2">
        <f>P14-E14</f>
        <v>7.4305555555555625E-2</v>
      </c>
      <c r="R14" s="4">
        <f>Q14*24</f>
        <v>1.783333333333335</v>
      </c>
      <c r="U14" s="110">
        <f t="shared" si="9"/>
        <v>3.6805555555555591E-2</v>
      </c>
      <c r="V14" s="4">
        <f t="shared" si="10"/>
        <v>0.88333333333333419</v>
      </c>
    </row>
    <row r="15" spans="1:22" x14ac:dyDescent="0.25">
      <c r="B15" s="5">
        <f t="shared" si="8"/>
        <v>24</v>
      </c>
      <c r="C15" s="5">
        <f t="shared" si="5"/>
        <v>11</v>
      </c>
      <c r="D15" s="3">
        <v>1</v>
      </c>
      <c r="E15" s="3"/>
      <c r="F15" s="81">
        <f t="shared" si="3"/>
        <v>0.28124999999999989</v>
      </c>
      <c r="G15" s="37">
        <v>3.472222222222222E-3</v>
      </c>
      <c r="H15" s="81"/>
      <c r="I15" s="81">
        <f t="shared" si="0"/>
        <v>0.30902777777777768</v>
      </c>
      <c r="J15" s="81">
        <f t="shared" si="1"/>
        <v>0.31805555555555548</v>
      </c>
      <c r="K15" s="81">
        <f t="shared" si="1"/>
        <v>0.32152777777777769</v>
      </c>
      <c r="L15" s="81">
        <f t="shared" si="1"/>
        <v>0.34583333333333327</v>
      </c>
      <c r="M15" s="81">
        <f t="shared" si="1"/>
        <v>0.35277777777777769</v>
      </c>
      <c r="N15" s="81">
        <f t="shared" si="4"/>
        <v>0.35277777777777769</v>
      </c>
      <c r="O15" s="93">
        <f>O12+1</f>
        <v>8</v>
      </c>
      <c r="P15" s="93"/>
      <c r="U15" s="110"/>
    </row>
    <row r="16" spans="1:22" x14ac:dyDescent="0.25">
      <c r="B16" s="5">
        <f t="shared" si="8"/>
        <v>24</v>
      </c>
      <c r="C16" s="5">
        <f t="shared" si="5"/>
        <v>12</v>
      </c>
      <c r="D16" s="3">
        <v>11</v>
      </c>
      <c r="E16" s="97">
        <f t="shared" si="2"/>
        <v>0.27361111111111097</v>
      </c>
      <c r="F16" s="81">
        <f t="shared" si="3"/>
        <v>0.2847222222222221</v>
      </c>
      <c r="G16" s="37">
        <v>3.472222222222222E-3</v>
      </c>
      <c r="H16" s="81"/>
      <c r="I16" s="81">
        <f t="shared" si="0"/>
        <v>0.31249999999999989</v>
      </c>
      <c r="J16" s="81">
        <f t="shared" si="1"/>
        <v>0.32152777777777769</v>
      </c>
      <c r="K16" s="84">
        <f t="shared" si="1"/>
        <v>0.3249999999999999</v>
      </c>
      <c r="L16" s="84">
        <f t="shared" si="1"/>
        <v>0.34930555555555548</v>
      </c>
      <c r="M16" s="84">
        <f t="shared" si="1"/>
        <v>0.3562499999999999</v>
      </c>
      <c r="N16" s="84">
        <f t="shared" si="4"/>
        <v>0.3562499999999999</v>
      </c>
      <c r="O16" s="94"/>
      <c r="P16" s="98">
        <f t="shared" ref="P16:P42" si="11">J16+$P$3</f>
        <v>0.3479166666666666</v>
      </c>
      <c r="Q16" s="2">
        <f>P16-E16</f>
        <v>7.4305555555555625E-2</v>
      </c>
      <c r="R16" s="4">
        <f t="shared" ref="R16:R42" si="12">Q16*24</f>
        <v>1.783333333333335</v>
      </c>
      <c r="U16" s="110">
        <f t="shared" si="9"/>
        <v>3.6805555555555591E-2</v>
      </c>
      <c r="V16" s="4">
        <f t="shared" si="10"/>
        <v>0.88333333333333419</v>
      </c>
    </row>
    <row r="17" spans="1:22" x14ac:dyDescent="0.25">
      <c r="B17" s="5">
        <f t="shared" si="8"/>
        <v>24</v>
      </c>
      <c r="C17" s="5">
        <f t="shared" si="5"/>
        <v>13</v>
      </c>
      <c r="D17" s="3">
        <v>12</v>
      </c>
      <c r="E17" s="97">
        <f t="shared" si="2"/>
        <v>0.27708333333333318</v>
      </c>
      <c r="F17" s="81">
        <f t="shared" si="3"/>
        <v>0.28819444444444431</v>
      </c>
      <c r="G17" s="37">
        <v>3.472222222222222E-3</v>
      </c>
      <c r="H17" s="81"/>
      <c r="I17" s="81">
        <f t="shared" si="0"/>
        <v>0.3159722222222221</v>
      </c>
      <c r="J17" s="81">
        <f t="shared" si="1"/>
        <v>0.3249999999999999</v>
      </c>
      <c r="K17" s="84">
        <f t="shared" si="1"/>
        <v>0.32847222222222211</v>
      </c>
      <c r="L17" s="84">
        <f t="shared" si="1"/>
        <v>0.35277777777777769</v>
      </c>
      <c r="M17" s="84">
        <f t="shared" si="1"/>
        <v>0.35972222222222211</v>
      </c>
      <c r="N17" s="84">
        <f t="shared" si="4"/>
        <v>0.35972222222222211</v>
      </c>
      <c r="O17" s="94"/>
      <c r="P17" s="98">
        <f t="shared" si="11"/>
        <v>0.35138888888888881</v>
      </c>
      <c r="Q17" s="2">
        <f>P17-E17</f>
        <v>7.4305555555555625E-2</v>
      </c>
      <c r="R17" s="4">
        <f t="shared" si="12"/>
        <v>1.783333333333335</v>
      </c>
      <c r="U17" s="110">
        <f t="shared" si="9"/>
        <v>3.6805555555555591E-2</v>
      </c>
      <c r="V17" s="4">
        <f t="shared" si="10"/>
        <v>0.88333333333333419</v>
      </c>
    </row>
    <row r="18" spans="1:22" x14ac:dyDescent="0.25">
      <c r="A18" s="78"/>
      <c r="B18" s="5">
        <f t="shared" si="8"/>
        <v>24</v>
      </c>
      <c r="C18" s="5">
        <f t="shared" si="5"/>
        <v>14</v>
      </c>
      <c r="D18" s="77">
        <v>22</v>
      </c>
      <c r="E18" s="101">
        <f t="shared" si="2"/>
        <v>0.27916666666666651</v>
      </c>
      <c r="F18" s="85">
        <f t="shared" si="3"/>
        <v>0.29027777777777763</v>
      </c>
      <c r="G18" s="71">
        <v>2.0833333333333333E-3</v>
      </c>
      <c r="H18" s="85"/>
      <c r="I18" s="85">
        <f>$F18+$I$3</f>
        <v>0.31805555555555542</v>
      </c>
      <c r="J18" s="85">
        <f>I18+J$3</f>
        <v>0.32708333333333323</v>
      </c>
      <c r="K18" s="84">
        <f t="shared" si="1"/>
        <v>0.33055555555555544</v>
      </c>
      <c r="L18" s="84">
        <f t="shared" si="1"/>
        <v>0.35486111111111102</v>
      </c>
      <c r="M18" s="84">
        <f t="shared" si="1"/>
        <v>0.36180555555555544</v>
      </c>
      <c r="N18" s="84">
        <f t="shared" ref="N18" si="13">M18</f>
        <v>0.36180555555555544</v>
      </c>
      <c r="O18" s="95"/>
      <c r="P18" s="102">
        <f t="shared" si="11"/>
        <v>0.35347222222222213</v>
      </c>
      <c r="Q18" s="69">
        <f>P18-E18</f>
        <v>7.4305555555555625E-2</v>
      </c>
      <c r="R18" s="70">
        <f t="shared" ref="R18" si="14">Q18*24</f>
        <v>1.783333333333335</v>
      </c>
      <c r="U18" s="110">
        <f t="shared" si="9"/>
        <v>3.6805555555555591E-2</v>
      </c>
      <c r="V18" s="4">
        <f t="shared" si="10"/>
        <v>0.88333333333333419</v>
      </c>
    </row>
    <row r="19" spans="1:22" x14ac:dyDescent="0.25">
      <c r="B19" s="5">
        <f t="shared" ref="B19:B35" si="15">ROUND(41*14/21,0)</f>
        <v>27</v>
      </c>
      <c r="C19" s="5">
        <f t="shared" si="5"/>
        <v>15</v>
      </c>
      <c r="D19" s="3">
        <v>2</v>
      </c>
      <c r="E19" s="3"/>
      <c r="F19" s="81">
        <f>F17+G19</f>
        <v>0.29166666666666652</v>
      </c>
      <c r="G19" s="71">
        <v>3.472222222222222E-3</v>
      </c>
      <c r="H19" s="81"/>
      <c r="I19" s="81">
        <f t="shared" si="0"/>
        <v>0.31944444444444431</v>
      </c>
      <c r="J19" s="81">
        <f t="shared" si="1"/>
        <v>0.32847222222222211</v>
      </c>
      <c r="K19" s="81">
        <f t="shared" si="1"/>
        <v>0.33194444444444432</v>
      </c>
      <c r="L19" s="81">
        <f t="shared" si="1"/>
        <v>0.3562499999999999</v>
      </c>
      <c r="M19" s="81">
        <f t="shared" si="1"/>
        <v>0.36319444444444432</v>
      </c>
      <c r="N19" s="82">
        <v>0.36458333333333331</v>
      </c>
      <c r="O19" s="93">
        <f>O15+1</f>
        <v>9</v>
      </c>
      <c r="P19" s="93"/>
      <c r="U19" s="110"/>
    </row>
    <row r="20" spans="1:22" x14ac:dyDescent="0.25">
      <c r="B20" s="5">
        <f t="shared" si="15"/>
        <v>27</v>
      </c>
      <c r="C20" s="5">
        <f t="shared" si="5"/>
        <v>16</v>
      </c>
      <c r="D20" s="3">
        <v>13</v>
      </c>
      <c r="E20" s="97">
        <f t="shared" ref="E20:E27" si="16">F20-$E$3</f>
        <v>0.28263888888888872</v>
      </c>
      <c r="F20" s="81">
        <f t="shared" si="3"/>
        <v>0.29374999999999984</v>
      </c>
      <c r="G20" s="37">
        <v>2.0833333333333333E-3</v>
      </c>
      <c r="H20" s="81"/>
      <c r="I20" s="81">
        <f t="shared" si="0"/>
        <v>0.32152777777777763</v>
      </c>
      <c r="J20" s="81">
        <f t="shared" si="1"/>
        <v>0.33055555555555544</v>
      </c>
      <c r="K20" s="84">
        <f t="shared" si="1"/>
        <v>0.33402777777777765</v>
      </c>
      <c r="L20" s="84">
        <f t="shared" si="1"/>
        <v>0.35833333333333323</v>
      </c>
      <c r="M20" s="84">
        <f t="shared" si="1"/>
        <v>0.36527777777777765</v>
      </c>
      <c r="N20" s="84">
        <f t="shared" si="4"/>
        <v>0.36527777777777765</v>
      </c>
      <c r="O20" s="94"/>
      <c r="P20" s="98">
        <f t="shared" si="11"/>
        <v>0.35694444444444434</v>
      </c>
      <c r="Q20" s="2">
        <f t="shared" ref="Q20:Q25" si="17">P20-E20</f>
        <v>7.4305555555555625E-2</v>
      </c>
      <c r="R20" s="4">
        <f t="shared" si="12"/>
        <v>1.783333333333335</v>
      </c>
      <c r="U20" s="110">
        <f t="shared" si="9"/>
        <v>3.6805555555555591E-2</v>
      </c>
      <c r="V20" s="4">
        <f t="shared" si="10"/>
        <v>0.88333333333333419</v>
      </c>
    </row>
    <row r="21" spans="1:22" x14ac:dyDescent="0.25">
      <c r="B21" s="5">
        <f t="shared" ref="B21" si="18">ROUND(48*0.5,0)</f>
        <v>24</v>
      </c>
      <c r="C21" s="5">
        <f t="shared" si="5"/>
        <v>17</v>
      </c>
      <c r="D21" s="77">
        <v>23</v>
      </c>
      <c r="E21" s="101">
        <f t="shared" si="16"/>
        <v>0.28472222222222204</v>
      </c>
      <c r="F21" s="85">
        <f t="shared" ref="F21" si="19">F20+G21</f>
        <v>0.29583333333333317</v>
      </c>
      <c r="G21" s="71">
        <v>2.0833333333333333E-3</v>
      </c>
      <c r="H21" s="85"/>
      <c r="I21" s="85">
        <f>$F21+$I$3</f>
        <v>0.32361111111111096</v>
      </c>
      <c r="J21" s="85">
        <f>I21+J$3</f>
        <v>0.33263888888888876</v>
      </c>
      <c r="K21" s="84">
        <f t="shared" si="1"/>
        <v>0.33611111111111097</v>
      </c>
      <c r="L21" s="84">
        <f t="shared" si="1"/>
        <v>0.36041666666666655</v>
      </c>
      <c r="M21" s="84">
        <f t="shared" si="1"/>
        <v>0.36736111111111097</v>
      </c>
      <c r="N21" s="84">
        <f t="shared" si="4"/>
        <v>0.36736111111111097</v>
      </c>
      <c r="O21" s="95"/>
      <c r="P21" s="102">
        <f t="shared" si="11"/>
        <v>0.35902777777777767</v>
      </c>
      <c r="Q21" s="69">
        <f t="shared" si="17"/>
        <v>7.4305555555555625E-2</v>
      </c>
      <c r="R21" s="70">
        <f t="shared" si="12"/>
        <v>1.783333333333335</v>
      </c>
      <c r="U21" s="110">
        <f t="shared" si="9"/>
        <v>3.6805555555555591E-2</v>
      </c>
      <c r="V21" s="4">
        <f t="shared" si="10"/>
        <v>0.88333333333333419</v>
      </c>
    </row>
    <row r="22" spans="1:22" x14ac:dyDescent="0.25">
      <c r="B22" s="5">
        <f t="shared" si="15"/>
        <v>27</v>
      </c>
      <c r="C22" s="5">
        <f t="shared" si="5"/>
        <v>18</v>
      </c>
      <c r="D22" s="3">
        <v>14</v>
      </c>
      <c r="E22" s="97">
        <f t="shared" si="16"/>
        <v>0.28611111111111093</v>
      </c>
      <c r="F22" s="81">
        <f>F20+G22</f>
        <v>0.29722222222222205</v>
      </c>
      <c r="G22" s="71">
        <v>3.472222222222222E-3</v>
      </c>
      <c r="H22" s="81"/>
      <c r="I22" s="81">
        <f t="shared" si="0"/>
        <v>0.32499999999999984</v>
      </c>
      <c r="J22" s="81">
        <f t="shared" si="1"/>
        <v>0.33402777777777765</v>
      </c>
      <c r="K22" s="84">
        <f t="shared" si="1"/>
        <v>0.33749999999999986</v>
      </c>
      <c r="L22" s="84">
        <f t="shared" si="1"/>
        <v>0.36180555555555544</v>
      </c>
      <c r="M22" s="84">
        <f t="shared" si="1"/>
        <v>0.36874999999999986</v>
      </c>
      <c r="N22" s="84">
        <f t="shared" si="4"/>
        <v>0.36874999999999986</v>
      </c>
      <c r="O22" s="94"/>
      <c r="P22" s="98">
        <f t="shared" si="11"/>
        <v>0.36041666666666655</v>
      </c>
      <c r="Q22" s="2">
        <f t="shared" si="17"/>
        <v>7.4305555555555625E-2</v>
      </c>
      <c r="R22" s="4">
        <f t="shared" si="12"/>
        <v>1.783333333333335</v>
      </c>
      <c r="U22" s="110">
        <f t="shared" si="9"/>
        <v>3.6805555555555591E-2</v>
      </c>
      <c r="V22" s="4">
        <f t="shared" si="10"/>
        <v>0.88333333333333419</v>
      </c>
    </row>
    <row r="23" spans="1:22" x14ac:dyDescent="0.25">
      <c r="B23" s="5">
        <f t="shared" si="15"/>
        <v>27</v>
      </c>
      <c r="C23" s="5">
        <f t="shared" si="5"/>
        <v>19</v>
      </c>
      <c r="D23" s="3">
        <v>15</v>
      </c>
      <c r="E23" s="97">
        <f t="shared" si="16"/>
        <v>0.28819444444444425</v>
      </c>
      <c r="F23" s="81">
        <f t="shared" si="3"/>
        <v>0.29930555555555538</v>
      </c>
      <c r="G23" s="37">
        <v>2.0833333333333333E-3</v>
      </c>
      <c r="H23" s="81"/>
      <c r="I23" s="81">
        <f t="shared" si="0"/>
        <v>0.32708333333333317</v>
      </c>
      <c r="J23" s="81">
        <f t="shared" si="1"/>
        <v>0.33611111111111097</v>
      </c>
      <c r="K23" s="84">
        <f t="shared" si="1"/>
        <v>0.33958333333333318</v>
      </c>
      <c r="L23" s="84">
        <f t="shared" si="1"/>
        <v>0.36388888888888876</v>
      </c>
      <c r="M23" s="84">
        <f t="shared" si="1"/>
        <v>0.37083333333333318</v>
      </c>
      <c r="N23" s="84">
        <f t="shared" si="4"/>
        <v>0.37083333333333318</v>
      </c>
      <c r="O23" s="94"/>
      <c r="P23" s="98">
        <f t="shared" si="11"/>
        <v>0.36249999999999988</v>
      </c>
      <c r="Q23" s="2">
        <f t="shared" si="17"/>
        <v>7.4305555555555625E-2</v>
      </c>
      <c r="R23" s="4">
        <f t="shared" si="12"/>
        <v>1.783333333333335</v>
      </c>
      <c r="U23" s="110">
        <f t="shared" si="9"/>
        <v>3.6805555555555591E-2</v>
      </c>
      <c r="V23" s="4">
        <f t="shared" si="10"/>
        <v>0.88333333333333419</v>
      </c>
    </row>
    <row r="24" spans="1:22" x14ac:dyDescent="0.25">
      <c r="B24" s="5">
        <f t="shared" ref="B24" si="20">ROUND(48*0.5,0)</f>
        <v>24</v>
      </c>
      <c r="C24" s="5">
        <f t="shared" si="5"/>
        <v>20</v>
      </c>
      <c r="D24" s="77">
        <v>24</v>
      </c>
      <c r="E24" s="101">
        <f t="shared" si="16"/>
        <v>0.29027777777777758</v>
      </c>
      <c r="F24" s="85">
        <f t="shared" si="3"/>
        <v>0.30138888888888871</v>
      </c>
      <c r="G24" s="71">
        <v>2.0833333333333333E-3</v>
      </c>
      <c r="H24" s="85"/>
      <c r="I24" s="85">
        <f>$F24+$I$3</f>
        <v>0.3291666666666665</v>
      </c>
      <c r="J24" s="85">
        <f>I24+J$3</f>
        <v>0.3381944444444443</v>
      </c>
      <c r="K24" s="84">
        <f t="shared" si="1"/>
        <v>0.34166666666666651</v>
      </c>
      <c r="L24" s="84">
        <f t="shared" si="1"/>
        <v>0.36597222222222209</v>
      </c>
      <c r="M24" s="84">
        <f t="shared" si="1"/>
        <v>0.37291666666666651</v>
      </c>
      <c r="N24" s="84">
        <f t="shared" ref="N24" si="21">M24</f>
        <v>0.37291666666666651</v>
      </c>
      <c r="O24" s="95"/>
      <c r="P24" s="102">
        <f t="shared" si="11"/>
        <v>0.3645833333333332</v>
      </c>
      <c r="Q24" s="69">
        <f t="shared" si="17"/>
        <v>7.4305555555555625E-2</v>
      </c>
      <c r="R24" s="70">
        <f t="shared" ref="R24" si="22">Q24*24</f>
        <v>1.783333333333335</v>
      </c>
      <c r="U24" s="110">
        <f t="shared" si="9"/>
        <v>3.6805555555555591E-2</v>
      </c>
      <c r="V24" s="4">
        <f t="shared" si="10"/>
        <v>0.88333333333333419</v>
      </c>
    </row>
    <row r="25" spans="1:22" x14ac:dyDescent="0.25">
      <c r="B25" s="5">
        <f t="shared" si="15"/>
        <v>27</v>
      </c>
      <c r="C25" s="5">
        <f t="shared" si="5"/>
        <v>21</v>
      </c>
      <c r="D25" s="3">
        <v>16</v>
      </c>
      <c r="E25" s="97">
        <f t="shared" si="16"/>
        <v>0.29166666666666646</v>
      </c>
      <c r="F25" s="81">
        <f>F23+G25</f>
        <v>0.30277777777777759</v>
      </c>
      <c r="G25" s="71">
        <v>3.472222222222222E-3</v>
      </c>
      <c r="H25" s="81"/>
      <c r="I25" s="81">
        <f t="shared" si="0"/>
        <v>0.33055555555555538</v>
      </c>
      <c r="J25" s="81">
        <f t="shared" si="1"/>
        <v>0.33958333333333318</v>
      </c>
      <c r="K25" s="84">
        <f t="shared" si="1"/>
        <v>0.34305555555555539</v>
      </c>
      <c r="L25" s="84">
        <f t="shared" si="1"/>
        <v>0.36736111111111097</v>
      </c>
      <c r="M25" s="84">
        <f t="shared" si="1"/>
        <v>0.37430555555555539</v>
      </c>
      <c r="N25" s="84">
        <f t="shared" si="4"/>
        <v>0.37430555555555539</v>
      </c>
      <c r="O25" s="94"/>
      <c r="P25" s="98">
        <f t="shared" si="11"/>
        <v>0.36597222222222209</v>
      </c>
      <c r="Q25" s="2">
        <f t="shared" si="17"/>
        <v>7.4305555555555625E-2</v>
      </c>
      <c r="R25" s="4">
        <f t="shared" si="12"/>
        <v>1.783333333333335</v>
      </c>
      <c r="U25" s="110">
        <f t="shared" si="9"/>
        <v>3.6805555555555591E-2</v>
      </c>
      <c r="V25" s="4">
        <f t="shared" si="10"/>
        <v>0.88333333333333419</v>
      </c>
    </row>
    <row r="26" spans="1:22" x14ac:dyDescent="0.25">
      <c r="B26" s="5">
        <f t="shared" si="15"/>
        <v>27</v>
      </c>
      <c r="C26" s="5">
        <f t="shared" si="5"/>
        <v>22</v>
      </c>
      <c r="D26" s="3">
        <v>3</v>
      </c>
      <c r="E26" s="3"/>
      <c r="F26" s="81">
        <f t="shared" si="3"/>
        <v>0.30416666666666647</v>
      </c>
      <c r="G26" s="37">
        <v>1.3888888888888889E-3</v>
      </c>
      <c r="H26" s="81"/>
      <c r="I26" s="81">
        <f t="shared" si="0"/>
        <v>0.33194444444444426</v>
      </c>
      <c r="J26" s="81">
        <f t="shared" si="1"/>
        <v>0.34097222222222207</v>
      </c>
      <c r="K26" s="81">
        <f t="shared" si="1"/>
        <v>0.34444444444444428</v>
      </c>
      <c r="L26" s="81">
        <f t="shared" si="1"/>
        <v>0.36874999999999986</v>
      </c>
      <c r="M26" s="81">
        <f t="shared" si="1"/>
        <v>0.37569444444444428</v>
      </c>
      <c r="N26" s="82">
        <v>0.375</v>
      </c>
      <c r="O26" s="93">
        <f>O19+1</f>
        <v>10</v>
      </c>
      <c r="P26" s="93"/>
      <c r="U26" s="110"/>
    </row>
    <row r="27" spans="1:22" x14ac:dyDescent="0.25">
      <c r="B27" s="5">
        <f t="shared" ref="B27" si="23">ROUND(48*0.5,0)</f>
        <v>24</v>
      </c>
      <c r="C27" s="5">
        <f t="shared" si="5"/>
        <v>23</v>
      </c>
      <c r="D27" s="77">
        <v>25</v>
      </c>
      <c r="E27" s="101">
        <f t="shared" si="16"/>
        <v>0.29444444444444423</v>
      </c>
      <c r="F27" s="85">
        <f t="shared" ref="F27" si="24">F26+G27</f>
        <v>0.30555555555555536</v>
      </c>
      <c r="G27" s="71">
        <v>1.3888888888888889E-3</v>
      </c>
      <c r="H27" s="85"/>
      <c r="I27" s="85">
        <f>$F27+$I$3</f>
        <v>0.33333333333333315</v>
      </c>
      <c r="J27" s="85">
        <f>I27+J$3</f>
        <v>0.34236111111111095</v>
      </c>
      <c r="K27" s="84">
        <f t="shared" si="1"/>
        <v>0.34583333333333316</v>
      </c>
      <c r="L27" s="84">
        <f t="shared" si="1"/>
        <v>0.37013888888888874</v>
      </c>
      <c r="M27" s="84">
        <f t="shared" si="1"/>
        <v>0.37708333333333316</v>
      </c>
      <c r="N27" s="84">
        <f t="shared" si="4"/>
        <v>0.37708333333333316</v>
      </c>
      <c r="O27" s="95"/>
      <c r="P27" s="102">
        <f t="shared" si="11"/>
        <v>0.36874999999999986</v>
      </c>
      <c r="Q27" s="69">
        <f>P27-E27</f>
        <v>7.4305555555555625E-2</v>
      </c>
      <c r="R27" s="70">
        <f t="shared" ref="R27" si="25">Q27*24</f>
        <v>1.783333333333335</v>
      </c>
      <c r="U27" s="110">
        <f t="shared" si="9"/>
        <v>3.6805555555555591E-2</v>
      </c>
      <c r="V27" s="4">
        <f t="shared" si="10"/>
        <v>0.88333333333333419</v>
      </c>
    </row>
    <row r="28" spans="1:22" x14ac:dyDescent="0.25">
      <c r="B28" s="5">
        <f t="shared" si="15"/>
        <v>27</v>
      </c>
      <c r="C28" s="5">
        <f t="shared" si="5"/>
        <v>24</v>
      </c>
      <c r="D28" s="3">
        <v>17</v>
      </c>
      <c r="E28" s="97">
        <f t="shared" ref="E28:E30" si="26">F28-$E$3</f>
        <v>0.29583333333333311</v>
      </c>
      <c r="F28" s="81">
        <f>F26+G28</f>
        <v>0.30694444444444424</v>
      </c>
      <c r="G28" s="71">
        <v>2.7777777777777779E-3</v>
      </c>
      <c r="H28" s="81"/>
      <c r="I28" s="81">
        <f t="shared" si="0"/>
        <v>0.33472222222222203</v>
      </c>
      <c r="J28" s="81">
        <f t="shared" si="1"/>
        <v>0.34374999999999983</v>
      </c>
      <c r="K28" s="84">
        <f t="shared" si="1"/>
        <v>0.34722222222222204</v>
      </c>
      <c r="L28" s="84">
        <f t="shared" si="1"/>
        <v>0.37152777777777762</v>
      </c>
      <c r="M28" s="84">
        <f t="shared" si="1"/>
        <v>0.37847222222222204</v>
      </c>
      <c r="N28" s="84">
        <f t="shared" si="4"/>
        <v>0.37847222222222204</v>
      </c>
      <c r="O28" s="94"/>
      <c r="P28" s="98">
        <f t="shared" si="11"/>
        <v>0.37013888888888874</v>
      </c>
      <c r="Q28" s="2">
        <f>P28-E28</f>
        <v>7.4305555555555625E-2</v>
      </c>
      <c r="R28" s="4">
        <f t="shared" si="12"/>
        <v>1.783333333333335</v>
      </c>
      <c r="U28" s="110">
        <f t="shared" si="9"/>
        <v>3.6805555555555591E-2</v>
      </c>
      <c r="V28" s="4">
        <f t="shared" si="10"/>
        <v>0.88333333333333419</v>
      </c>
    </row>
    <row r="29" spans="1:22" x14ac:dyDescent="0.25">
      <c r="B29" s="5">
        <f t="shared" si="15"/>
        <v>27</v>
      </c>
      <c r="C29" s="5">
        <f t="shared" si="5"/>
        <v>25</v>
      </c>
      <c r="D29" s="3">
        <v>18</v>
      </c>
      <c r="E29" s="97">
        <f t="shared" si="26"/>
        <v>0.29861111111111088</v>
      </c>
      <c r="F29" s="81">
        <f t="shared" si="3"/>
        <v>0.30972222222222201</v>
      </c>
      <c r="G29" s="71">
        <v>2.7777777777777779E-3</v>
      </c>
      <c r="H29" s="81"/>
      <c r="I29" s="81">
        <f t="shared" si="0"/>
        <v>0.3374999999999998</v>
      </c>
      <c r="J29" s="81">
        <f t="shared" si="1"/>
        <v>0.3465277777777776</v>
      </c>
      <c r="K29" s="84">
        <f t="shared" si="1"/>
        <v>0.34999999999999981</v>
      </c>
      <c r="L29" s="84">
        <f t="shared" si="1"/>
        <v>0.37430555555555539</v>
      </c>
      <c r="M29" s="84">
        <f t="shared" si="1"/>
        <v>0.38124999999999981</v>
      </c>
      <c r="N29" s="84">
        <f t="shared" si="4"/>
        <v>0.38124999999999981</v>
      </c>
      <c r="O29" s="94"/>
      <c r="P29" s="98">
        <f t="shared" si="11"/>
        <v>0.37291666666666651</v>
      </c>
      <c r="Q29" s="2">
        <f>P29-E29</f>
        <v>7.4305555555555625E-2</v>
      </c>
      <c r="R29" s="4">
        <f t="shared" si="12"/>
        <v>1.783333333333335</v>
      </c>
      <c r="U29" s="110">
        <f t="shared" si="9"/>
        <v>3.6805555555555591E-2</v>
      </c>
      <c r="V29" s="4">
        <f t="shared" si="10"/>
        <v>0.88333333333333419</v>
      </c>
    </row>
    <row r="30" spans="1:22" x14ac:dyDescent="0.25">
      <c r="B30" s="5">
        <f t="shared" ref="B30" si="27">ROUND(48*0.5,0)</f>
        <v>24</v>
      </c>
      <c r="C30" s="5">
        <f t="shared" si="5"/>
        <v>26</v>
      </c>
      <c r="D30" s="77">
        <v>26</v>
      </c>
      <c r="E30" s="101">
        <f t="shared" si="26"/>
        <v>0.30069444444444421</v>
      </c>
      <c r="F30" s="85">
        <f t="shared" si="3"/>
        <v>0.31180555555555534</v>
      </c>
      <c r="G30" s="71">
        <v>2.0833333333333333E-3</v>
      </c>
      <c r="H30" s="85"/>
      <c r="I30" s="85">
        <f>$F30+$I$3</f>
        <v>0.33958333333333313</v>
      </c>
      <c r="J30" s="85">
        <f>I30+J$3</f>
        <v>0.34861111111111093</v>
      </c>
      <c r="K30" s="84">
        <f t="shared" si="1"/>
        <v>0.35208333333333314</v>
      </c>
      <c r="L30" s="84">
        <f t="shared" si="1"/>
        <v>0.37638888888888872</v>
      </c>
      <c r="M30" s="84">
        <f t="shared" si="1"/>
        <v>0.38333333333333314</v>
      </c>
      <c r="N30" s="84">
        <f t="shared" ref="N30" si="28">M30</f>
        <v>0.38333333333333314</v>
      </c>
      <c r="O30" s="95"/>
      <c r="P30" s="102">
        <f t="shared" si="11"/>
        <v>0.37499999999999983</v>
      </c>
      <c r="Q30" s="69">
        <f>P30-E30</f>
        <v>7.4305555555555625E-2</v>
      </c>
      <c r="R30" s="70">
        <f t="shared" si="12"/>
        <v>1.783333333333335</v>
      </c>
      <c r="U30" s="110">
        <f t="shared" si="9"/>
        <v>3.6805555555555591E-2</v>
      </c>
      <c r="V30" s="4">
        <f t="shared" si="10"/>
        <v>0.88333333333333419</v>
      </c>
    </row>
    <row r="31" spans="1:22" x14ac:dyDescent="0.25">
      <c r="B31" s="5">
        <f t="shared" si="15"/>
        <v>27</v>
      </c>
      <c r="C31" s="5">
        <f t="shared" si="5"/>
        <v>27</v>
      </c>
      <c r="D31" s="3">
        <v>4</v>
      </c>
      <c r="E31" s="3"/>
      <c r="F31" s="81">
        <f>F29+G31</f>
        <v>0.31319444444444422</v>
      </c>
      <c r="G31" s="37">
        <v>3.472222222222222E-3</v>
      </c>
      <c r="H31" s="81"/>
      <c r="I31" s="81">
        <f t="shared" si="0"/>
        <v>0.34097222222222201</v>
      </c>
      <c r="J31" s="81">
        <f t="shared" si="1"/>
        <v>0.34999999999999981</v>
      </c>
      <c r="K31" s="81">
        <f t="shared" si="1"/>
        <v>0.35347222222222202</v>
      </c>
      <c r="L31" s="81">
        <f t="shared" si="1"/>
        <v>0.3777777777777776</v>
      </c>
      <c r="M31" s="84">
        <f t="shared" si="1"/>
        <v>0.38472222222222202</v>
      </c>
      <c r="N31" s="84">
        <f t="shared" si="4"/>
        <v>0.38472222222222202</v>
      </c>
      <c r="O31" s="93">
        <v>11</v>
      </c>
      <c r="P31" s="98">
        <f>L31+$P$2</f>
        <v>0.39236111111111094</v>
      </c>
      <c r="Q31" s="2">
        <f>P31-E8</f>
        <v>0.16388888888888872</v>
      </c>
      <c r="R31" s="4">
        <f t="shared" si="12"/>
        <v>3.9333333333333291</v>
      </c>
      <c r="U31" s="110">
        <f>L31-F8</f>
        <v>0.13819444444444429</v>
      </c>
      <c r="V31" s="4">
        <f t="shared" si="10"/>
        <v>3.3166666666666629</v>
      </c>
    </row>
    <row r="32" spans="1:22" x14ac:dyDescent="0.25">
      <c r="B32" s="5">
        <f t="shared" si="15"/>
        <v>27</v>
      </c>
      <c r="C32" s="5">
        <f t="shared" si="5"/>
        <v>28</v>
      </c>
      <c r="D32" s="3">
        <v>19</v>
      </c>
      <c r="E32" s="97">
        <f t="shared" ref="E32:E36" si="29">F32-$E$3</f>
        <v>0.3055555555555553</v>
      </c>
      <c r="F32" s="81">
        <f t="shared" si="3"/>
        <v>0.31666666666666643</v>
      </c>
      <c r="G32" s="37">
        <v>3.472222222222222E-3</v>
      </c>
      <c r="H32" s="81"/>
      <c r="I32" s="81">
        <f t="shared" si="0"/>
        <v>0.34444444444444422</v>
      </c>
      <c r="J32" s="81">
        <f t="shared" si="1"/>
        <v>0.35347222222222202</v>
      </c>
      <c r="K32" s="84">
        <f t="shared" si="1"/>
        <v>0.35694444444444423</v>
      </c>
      <c r="L32" s="84">
        <f t="shared" si="1"/>
        <v>0.38124999999999981</v>
      </c>
      <c r="M32" s="84">
        <f t="shared" si="1"/>
        <v>0.38819444444444423</v>
      </c>
      <c r="N32" s="84">
        <f t="shared" si="4"/>
        <v>0.38819444444444423</v>
      </c>
      <c r="O32" s="93"/>
      <c r="P32" s="98">
        <f t="shared" si="11"/>
        <v>0.37986111111111093</v>
      </c>
      <c r="Q32" s="2">
        <f>P32-E32</f>
        <v>7.4305555555555625E-2</v>
      </c>
      <c r="R32" s="4">
        <f t="shared" si="12"/>
        <v>1.783333333333335</v>
      </c>
      <c r="U32" s="110">
        <f t="shared" si="9"/>
        <v>3.6805555555555591E-2</v>
      </c>
      <c r="V32" s="4">
        <f t="shared" si="10"/>
        <v>0.88333333333333419</v>
      </c>
    </row>
    <row r="33" spans="1:23" x14ac:dyDescent="0.25">
      <c r="B33" s="5">
        <f t="shared" si="15"/>
        <v>27</v>
      </c>
      <c r="C33" s="5">
        <v>29</v>
      </c>
      <c r="D33" s="3">
        <v>20</v>
      </c>
      <c r="E33" s="97">
        <f t="shared" si="29"/>
        <v>0.30763888888888863</v>
      </c>
      <c r="F33" s="81">
        <f>F32+G33</f>
        <v>0.31874999999999976</v>
      </c>
      <c r="G33" s="37">
        <v>2.0833333333333333E-3</v>
      </c>
      <c r="H33" s="81"/>
      <c r="I33" s="81">
        <f t="shared" si="0"/>
        <v>0.34652777777777755</v>
      </c>
      <c r="J33" s="81">
        <f t="shared" si="1"/>
        <v>0.35555555555555535</v>
      </c>
      <c r="K33" s="84">
        <f t="shared" si="1"/>
        <v>0.35902777777777756</v>
      </c>
      <c r="L33" s="84">
        <f t="shared" si="1"/>
        <v>0.38333333333333314</v>
      </c>
      <c r="M33" s="84">
        <f t="shared" si="1"/>
        <v>0.39027777777777756</v>
      </c>
      <c r="N33" s="84">
        <f t="shared" si="4"/>
        <v>0.39027777777777756</v>
      </c>
      <c r="O33" s="93"/>
      <c r="P33" s="98">
        <f t="shared" si="11"/>
        <v>0.38194444444444425</v>
      </c>
      <c r="Q33" s="2">
        <f>P33-E33</f>
        <v>7.4305555555555625E-2</v>
      </c>
      <c r="R33" s="4">
        <f t="shared" si="12"/>
        <v>1.783333333333335</v>
      </c>
      <c r="U33" s="110">
        <f t="shared" si="9"/>
        <v>3.6805555555555591E-2</v>
      </c>
      <c r="V33" s="4">
        <f t="shared" si="10"/>
        <v>0.88333333333333419</v>
      </c>
    </row>
    <row r="34" spans="1:23" x14ac:dyDescent="0.25">
      <c r="B34" s="5">
        <f t="shared" ref="B34" si="30">ROUND(48*0.5,0)</f>
        <v>24</v>
      </c>
      <c r="C34" s="5">
        <v>30</v>
      </c>
      <c r="D34" s="77">
        <v>27</v>
      </c>
      <c r="E34" s="101">
        <f>F34-$E$3</f>
        <v>0.30902777777777751</v>
      </c>
      <c r="F34" s="85">
        <f>F32+G34</f>
        <v>0.32013888888888864</v>
      </c>
      <c r="G34" s="71">
        <v>3.472222222222222E-3</v>
      </c>
      <c r="H34" s="85"/>
      <c r="I34" s="85">
        <f>$F34+$I$3</f>
        <v>0.34791666666666643</v>
      </c>
      <c r="J34" s="85">
        <f>I34+J$3</f>
        <v>0.35694444444444423</v>
      </c>
      <c r="K34" s="84">
        <f>J34+K$3</f>
        <v>0.36041666666666644</v>
      </c>
      <c r="L34" s="84">
        <f>K34+L$3</f>
        <v>0.38472222222222202</v>
      </c>
      <c r="M34" s="84">
        <f>L34+M$3</f>
        <v>0.39166666666666644</v>
      </c>
      <c r="N34" s="84">
        <f>M34</f>
        <v>0.39166666666666644</v>
      </c>
      <c r="O34" s="95"/>
      <c r="P34" s="102">
        <f>J34+$P$3</f>
        <v>0.38333333333333314</v>
      </c>
      <c r="Q34" s="69">
        <f>P34-E34</f>
        <v>7.4305555555555625E-2</v>
      </c>
      <c r="R34" s="70">
        <f t="shared" ref="R34" si="31">Q34*24</f>
        <v>1.783333333333335</v>
      </c>
      <c r="U34" s="110">
        <f t="shared" si="9"/>
        <v>3.6805555555555591E-2</v>
      </c>
      <c r="V34" s="4">
        <f t="shared" si="10"/>
        <v>0.88333333333333419</v>
      </c>
    </row>
    <row r="35" spans="1:23" x14ac:dyDescent="0.25">
      <c r="B35" s="5">
        <f t="shared" si="15"/>
        <v>27</v>
      </c>
      <c r="C35" s="5">
        <v>31</v>
      </c>
      <c r="D35" s="3">
        <v>5</v>
      </c>
      <c r="E35" s="3"/>
      <c r="F35" s="81">
        <f>F33+G35</f>
        <v>0.32222222222222197</v>
      </c>
      <c r="G35" s="37">
        <v>3.472222222222222E-3</v>
      </c>
      <c r="H35" s="81"/>
      <c r="I35" s="81">
        <f t="shared" si="0"/>
        <v>0.34999999999999976</v>
      </c>
      <c r="J35" s="81">
        <f t="shared" si="1"/>
        <v>0.35902777777777756</v>
      </c>
      <c r="K35" s="81">
        <f t="shared" si="1"/>
        <v>0.36249999999999977</v>
      </c>
      <c r="L35" s="81">
        <f t="shared" si="1"/>
        <v>0.38680555555555535</v>
      </c>
      <c r="M35" s="84">
        <f t="shared" si="1"/>
        <v>0.39374999999999977</v>
      </c>
      <c r="N35" s="84">
        <f t="shared" si="4"/>
        <v>0.39374999999999977</v>
      </c>
      <c r="O35" s="93">
        <v>12</v>
      </c>
      <c r="P35" s="98">
        <f>L35+$P$2</f>
        <v>0.40138888888888868</v>
      </c>
      <c r="Q35" s="2">
        <f>P35-E9</f>
        <v>0.16249999999999981</v>
      </c>
      <c r="R35" s="4">
        <f t="shared" si="12"/>
        <v>3.8999999999999955</v>
      </c>
      <c r="U35" s="110">
        <f>L35-F9</f>
        <v>0.13680555555555537</v>
      </c>
      <c r="V35" s="4">
        <f t="shared" si="10"/>
        <v>3.2833333333333288</v>
      </c>
    </row>
    <row r="36" spans="1:23" x14ac:dyDescent="0.25">
      <c r="B36" s="5">
        <f t="shared" ref="B36:B39" si="32">ROUND(48*0.5,0)</f>
        <v>24</v>
      </c>
      <c r="C36" s="5">
        <f t="shared" si="5"/>
        <v>32</v>
      </c>
      <c r="D36" s="77">
        <v>28</v>
      </c>
      <c r="E36" s="101">
        <f t="shared" si="29"/>
        <v>0.31319444444444416</v>
      </c>
      <c r="F36" s="85">
        <f>F35+G36</f>
        <v>0.32430555555555529</v>
      </c>
      <c r="G36" s="71">
        <v>2.0833333333333333E-3</v>
      </c>
      <c r="H36" s="85"/>
      <c r="I36" s="85">
        <f>$F36+$I$3</f>
        <v>0.35208333333333308</v>
      </c>
      <c r="J36" s="85">
        <f>I36+J$3</f>
        <v>0.36111111111111088</v>
      </c>
      <c r="K36" s="84">
        <f t="shared" si="1"/>
        <v>0.36458333333333309</v>
      </c>
      <c r="L36" s="84">
        <f t="shared" si="1"/>
        <v>0.38888888888888867</v>
      </c>
      <c r="M36" s="84">
        <f t="shared" si="1"/>
        <v>0.39583333333333309</v>
      </c>
      <c r="N36" s="84">
        <f t="shared" ref="N36" si="33">M36</f>
        <v>0.39583333333333309</v>
      </c>
      <c r="O36" s="95"/>
      <c r="P36" s="102">
        <f t="shared" si="11"/>
        <v>0.38749999999999979</v>
      </c>
      <c r="Q36" s="69">
        <f>P36-E36</f>
        <v>7.4305555555555625E-2</v>
      </c>
      <c r="R36" s="70">
        <f t="shared" si="12"/>
        <v>1.783333333333335</v>
      </c>
      <c r="U36" s="110">
        <f t="shared" si="9"/>
        <v>3.6805555555555591E-2</v>
      </c>
      <c r="V36" s="4">
        <f t="shared" si="10"/>
        <v>0.88333333333333419</v>
      </c>
    </row>
    <row r="37" spans="1:23" x14ac:dyDescent="0.25">
      <c r="A37" s="2"/>
      <c r="B37" s="5">
        <f t="shared" si="32"/>
        <v>24</v>
      </c>
      <c r="C37" s="5">
        <f t="shared" si="5"/>
        <v>33</v>
      </c>
      <c r="D37" s="3">
        <v>21</v>
      </c>
      <c r="E37" s="97">
        <f t="shared" ref="E37" si="34">F37-$E$3</f>
        <v>0.31527777777777749</v>
      </c>
      <c r="F37" s="81">
        <f>F35+G37</f>
        <v>0.32638888888888862</v>
      </c>
      <c r="G37" s="37">
        <v>4.1666666666666666E-3</v>
      </c>
      <c r="H37" s="81"/>
      <c r="I37" s="81">
        <f t="shared" si="0"/>
        <v>0.35416666666666641</v>
      </c>
      <c r="J37" s="81">
        <f t="shared" si="1"/>
        <v>0.36319444444444421</v>
      </c>
      <c r="K37" s="84">
        <f t="shared" si="1"/>
        <v>0.36666666666666642</v>
      </c>
      <c r="L37" s="84">
        <f t="shared" si="1"/>
        <v>0.390972222222222</v>
      </c>
      <c r="M37" s="84">
        <f t="shared" si="1"/>
        <v>0.39791666666666642</v>
      </c>
      <c r="N37" s="84">
        <f t="shared" si="4"/>
        <v>0.39791666666666642</v>
      </c>
      <c r="O37" s="93"/>
      <c r="P37" s="98">
        <f t="shared" si="11"/>
        <v>0.38958333333333311</v>
      </c>
      <c r="Q37" s="2">
        <f>P37-E37</f>
        <v>7.4305555555555625E-2</v>
      </c>
      <c r="R37" s="4">
        <f t="shared" si="12"/>
        <v>1.783333333333335</v>
      </c>
      <c r="U37" s="110">
        <f t="shared" si="9"/>
        <v>3.6805555555555591E-2</v>
      </c>
      <c r="V37" s="4">
        <f t="shared" si="10"/>
        <v>0.88333333333333419</v>
      </c>
    </row>
    <row r="38" spans="1:23" x14ac:dyDescent="0.25">
      <c r="A38" s="2"/>
      <c r="B38" s="5">
        <f t="shared" si="32"/>
        <v>24</v>
      </c>
      <c r="C38" s="5">
        <f t="shared" si="5"/>
        <v>34</v>
      </c>
      <c r="D38" s="3">
        <v>6</v>
      </c>
      <c r="E38" s="3"/>
      <c r="F38" s="81">
        <f t="shared" si="3"/>
        <v>0.33333333333333304</v>
      </c>
      <c r="G38" s="37">
        <v>6.9444444444444441E-3</v>
      </c>
      <c r="H38" s="81"/>
      <c r="I38" s="81">
        <f t="shared" si="0"/>
        <v>0.36111111111111083</v>
      </c>
      <c r="J38" s="81">
        <f t="shared" si="1"/>
        <v>0.37013888888888863</v>
      </c>
      <c r="K38" s="84">
        <f t="shared" si="1"/>
        <v>0.37361111111111084</v>
      </c>
      <c r="L38" s="84">
        <f t="shared" si="1"/>
        <v>0.39791666666666642</v>
      </c>
      <c r="M38" s="84">
        <f t="shared" si="1"/>
        <v>0.40486111111111084</v>
      </c>
      <c r="N38" s="84">
        <f t="shared" si="4"/>
        <v>0.40486111111111084</v>
      </c>
      <c r="O38" s="93"/>
      <c r="P38" s="98">
        <f t="shared" si="11"/>
        <v>0.39652777777777753</v>
      </c>
      <c r="Q38" s="2">
        <f>P38-E10</f>
        <v>0.15069444444444421</v>
      </c>
      <c r="R38" s="4">
        <f t="shared" si="12"/>
        <v>3.6166666666666609</v>
      </c>
      <c r="U38" s="110">
        <f>J38-F10</f>
        <v>0.11319444444444421</v>
      </c>
      <c r="V38" s="4">
        <f t="shared" si="10"/>
        <v>2.716666666666661</v>
      </c>
    </row>
    <row r="39" spans="1:23" x14ac:dyDescent="0.25">
      <c r="B39" s="5">
        <f t="shared" si="32"/>
        <v>24</v>
      </c>
      <c r="C39" s="5">
        <f t="shared" si="5"/>
        <v>35</v>
      </c>
      <c r="D39" s="3">
        <v>8</v>
      </c>
      <c r="E39" s="3"/>
      <c r="F39" s="81">
        <f t="shared" si="3"/>
        <v>0.34374999999999972</v>
      </c>
      <c r="G39" s="37">
        <v>1.0416666666666666E-2</v>
      </c>
      <c r="H39" s="81"/>
      <c r="I39" s="81">
        <f t="shared" si="0"/>
        <v>0.37152777777777751</v>
      </c>
      <c r="J39" s="81">
        <f t="shared" si="1"/>
        <v>0.38055555555555531</v>
      </c>
      <c r="K39" s="86">
        <f t="shared" si="1"/>
        <v>0.38402777777777752</v>
      </c>
      <c r="L39" s="86">
        <f t="shared" si="1"/>
        <v>0.4083333333333331</v>
      </c>
      <c r="M39" s="86">
        <f t="shared" si="1"/>
        <v>0.41527777777777752</v>
      </c>
      <c r="N39" s="86">
        <f t="shared" si="4"/>
        <v>0.41527777777777752</v>
      </c>
      <c r="O39" s="93">
        <v>13</v>
      </c>
      <c r="P39" s="93"/>
      <c r="Q39" s="2">
        <f>N39-E12</f>
        <v>0.15555555555555539</v>
      </c>
      <c r="R39" s="4">
        <f t="shared" si="12"/>
        <v>3.7333333333333294</v>
      </c>
      <c r="U39" s="110">
        <f>N39-F12</f>
        <v>0.14444444444444426</v>
      </c>
      <c r="V39" s="4">
        <f t="shared" si="10"/>
        <v>3.4666666666666623</v>
      </c>
    </row>
    <row r="40" spans="1:23" x14ac:dyDescent="0.25">
      <c r="B40" s="5">
        <f t="shared" ref="B40:B42" si="35">ROUND(48*0.25,0)</f>
        <v>12</v>
      </c>
      <c r="C40" s="5">
        <f t="shared" si="5"/>
        <v>36</v>
      </c>
      <c r="D40" s="3">
        <v>1</v>
      </c>
      <c r="E40" s="3"/>
      <c r="F40" s="81">
        <f t="shared" si="3"/>
        <v>0.35416666666666641</v>
      </c>
      <c r="G40" s="37">
        <v>1.0416666666666666E-2</v>
      </c>
      <c r="H40" s="81"/>
      <c r="I40" s="81">
        <f t="shared" si="0"/>
        <v>0.3819444444444442</v>
      </c>
      <c r="J40" s="81">
        <f t="shared" si="1"/>
        <v>0.390972222222222</v>
      </c>
      <c r="K40" s="84">
        <f t="shared" si="1"/>
        <v>0.39444444444444421</v>
      </c>
      <c r="L40" s="84">
        <f t="shared" si="1"/>
        <v>0.41874999999999979</v>
      </c>
      <c r="M40" s="84">
        <f t="shared" si="1"/>
        <v>0.42569444444444421</v>
      </c>
      <c r="N40" s="84">
        <f t="shared" si="4"/>
        <v>0.42569444444444421</v>
      </c>
      <c r="O40" s="93"/>
      <c r="P40" s="98">
        <f t="shared" si="11"/>
        <v>0.41736111111111091</v>
      </c>
      <c r="Q40" s="2">
        <f>P40-E5</f>
        <v>0.22013888888888866</v>
      </c>
      <c r="R40" s="4">
        <f t="shared" si="12"/>
        <v>5.2833333333333279</v>
      </c>
      <c r="U40" s="110">
        <f>J40-F6</f>
        <v>0.172222222222222</v>
      </c>
      <c r="V40" s="4">
        <f t="shared" si="10"/>
        <v>4.1333333333333275</v>
      </c>
    </row>
    <row r="41" spans="1:23" x14ac:dyDescent="0.25">
      <c r="B41" s="5">
        <f t="shared" si="35"/>
        <v>12</v>
      </c>
      <c r="C41" s="5">
        <f t="shared" si="5"/>
        <v>37</v>
      </c>
      <c r="D41" s="3">
        <v>2</v>
      </c>
      <c r="E41" s="3"/>
      <c r="F41" s="81">
        <f t="shared" si="3"/>
        <v>0.36458333333333309</v>
      </c>
      <c r="G41" s="37">
        <v>1.0416666666666666E-2</v>
      </c>
      <c r="H41" s="81"/>
      <c r="I41" s="81">
        <f t="shared" si="0"/>
        <v>0.39236111111111088</v>
      </c>
      <c r="J41" s="81">
        <f t="shared" si="1"/>
        <v>0.40138888888888868</v>
      </c>
      <c r="K41" s="84">
        <f t="shared" si="1"/>
        <v>0.40486111111111089</v>
      </c>
      <c r="L41" s="84">
        <f t="shared" si="1"/>
        <v>0.42916666666666647</v>
      </c>
      <c r="M41" s="84">
        <f t="shared" si="1"/>
        <v>0.43611111111111089</v>
      </c>
      <c r="N41" s="84">
        <f t="shared" si="4"/>
        <v>0.43611111111111089</v>
      </c>
      <c r="O41" s="94"/>
      <c r="P41" s="98">
        <f t="shared" si="11"/>
        <v>0.42777777777777759</v>
      </c>
      <c r="Q41" s="2">
        <f>P41-E6</f>
        <v>0.22013888888888869</v>
      </c>
      <c r="R41" s="4">
        <f t="shared" si="12"/>
        <v>5.2833333333333288</v>
      </c>
      <c r="U41" s="110">
        <f>J41-F6</f>
        <v>0.18263888888888868</v>
      </c>
      <c r="V41" s="4">
        <f t="shared" si="10"/>
        <v>4.3833333333333284</v>
      </c>
    </row>
    <row r="42" spans="1:23" x14ac:dyDescent="0.25">
      <c r="B42" s="5">
        <f t="shared" si="35"/>
        <v>12</v>
      </c>
      <c r="C42" s="5">
        <f t="shared" si="5"/>
        <v>38</v>
      </c>
      <c r="D42" s="3">
        <v>3</v>
      </c>
      <c r="E42" s="3"/>
      <c r="F42" s="81">
        <f t="shared" si="3"/>
        <v>0.37499999999999978</v>
      </c>
      <c r="G42" s="37">
        <v>1.0416666666666666E-2</v>
      </c>
      <c r="H42" s="81"/>
      <c r="I42" s="81">
        <f t="shared" si="0"/>
        <v>0.40277777777777757</v>
      </c>
      <c r="J42" s="81">
        <f t="shared" si="1"/>
        <v>0.41180555555555537</v>
      </c>
      <c r="K42" s="84">
        <f t="shared" si="1"/>
        <v>0.41527777777777758</v>
      </c>
      <c r="L42" s="84">
        <f t="shared" si="1"/>
        <v>0.43958333333333316</v>
      </c>
      <c r="M42" s="84">
        <f t="shared" si="1"/>
        <v>0.44652777777777758</v>
      </c>
      <c r="N42" s="84">
        <f t="shared" si="4"/>
        <v>0.44652777777777758</v>
      </c>
      <c r="O42" s="94"/>
      <c r="P42" s="98">
        <f t="shared" si="11"/>
        <v>0.43819444444444428</v>
      </c>
      <c r="Q42" s="2">
        <f>P42-E7</f>
        <v>0.22013888888888872</v>
      </c>
      <c r="R42" s="4">
        <f t="shared" si="12"/>
        <v>5.2833333333333297</v>
      </c>
      <c r="U42" s="110">
        <f>J42-F7</f>
        <v>0.18263888888888871</v>
      </c>
      <c r="V42" s="4">
        <f t="shared" si="10"/>
        <v>4.3833333333333293</v>
      </c>
    </row>
    <row r="43" spans="1:23" x14ac:dyDescent="0.25">
      <c r="A43" s="7" t="s">
        <v>13</v>
      </c>
      <c r="B43" s="8" t="s">
        <v>14</v>
      </c>
      <c r="C43" s="7"/>
      <c r="D43" s="9" t="s">
        <v>15</v>
      </c>
      <c r="E43" s="9"/>
      <c r="F43" s="9" t="s">
        <v>16</v>
      </c>
      <c r="G43" s="7" t="s">
        <v>17</v>
      </c>
      <c r="H43" s="7"/>
      <c r="I43" s="7"/>
      <c r="J43" s="7"/>
      <c r="K43" s="9" t="s">
        <v>18</v>
      </c>
      <c r="L43" s="7"/>
      <c r="M43" s="7"/>
      <c r="N43" s="7"/>
      <c r="O43" s="7"/>
      <c r="P43" s="7"/>
      <c r="Q43" s="7"/>
      <c r="R43" s="9" t="s">
        <v>90</v>
      </c>
      <c r="U43" s="110"/>
    </row>
    <row r="44" spans="1:23" x14ac:dyDescent="0.25">
      <c r="A44" s="1" t="s">
        <v>58</v>
      </c>
      <c r="B44" s="10">
        <f>SUM(B5:B42)</f>
        <v>876</v>
      </c>
      <c r="C44" s="12">
        <f>B44/F44</f>
        <v>23.05263157894737</v>
      </c>
      <c r="D44" s="11">
        <f>MAX(D2:D42)</f>
        <v>28</v>
      </c>
      <c r="E44" s="11"/>
      <c r="F44" s="11">
        <f>COUNT(C5:C42)</f>
        <v>38</v>
      </c>
      <c r="G44" s="12">
        <f>B44/F44</f>
        <v>23.05263157894737</v>
      </c>
      <c r="H44" s="112">
        <f>G44/32</f>
        <v>0.72039473684210531</v>
      </c>
      <c r="I44" s="10"/>
      <c r="J44" s="10"/>
      <c r="K44" s="53">
        <f>COUNT(O5:O42)</f>
        <v>13</v>
      </c>
      <c r="L44" s="10"/>
      <c r="M44" s="10"/>
      <c r="N44" s="10"/>
      <c r="O44" s="10"/>
      <c r="P44" s="10"/>
      <c r="Q44" s="10"/>
      <c r="R44" s="137">
        <f>SUM(R5:R42)</f>
        <v>68.483333333333334</v>
      </c>
      <c r="S44" s="24">
        <v>44.499999999999986</v>
      </c>
      <c r="T44" s="100"/>
      <c r="U44" s="4"/>
      <c r="V44" s="13">
        <f>SUM(V5:V42)</f>
        <v>44.23333333333332</v>
      </c>
      <c r="W44">
        <f>R44/V44</f>
        <v>1.5482290881688023</v>
      </c>
    </row>
    <row r="45" spans="1:23" x14ac:dyDescent="0.25">
      <c r="A45" s="14" t="s">
        <v>59</v>
      </c>
      <c r="B45" s="15">
        <f>B44*E45</f>
        <v>3504</v>
      </c>
      <c r="C45" s="14"/>
      <c r="D45" s="16" t="s">
        <v>110</v>
      </c>
      <c r="E45" s="136">
        <v>4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 t="s">
        <v>89</v>
      </c>
      <c r="Q45" s="138">
        <v>60.24</v>
      </c>
      <c r="R45" s="15">
        <f>R44*Q45</f>
        <v>4125.4360000000006</v>
      </c>
      <c r="S45" s="17">
        <v>2680.6799999999994</v>
      </c>
      <c r="T45" s="100"/>
      <c r="U45" s="110"/>
    </row>
    <row r="46" spans="1:23" x14ac:dyDescent="0.25">
      <c r="A46" s="63"/>
      <c r="B46" s="64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5"/>
      <c r="R46" s="64"/>
      <c r="U46" s="110"/>
    </row>
    <row r="47" spans="1:23" x14ac:dyDescent="0.25">
      <c r="A47" s="62"/>
      <c r="B47" s="62"/>
      <c r="C47" s="54"/>
      <c r="D47" s="54"/>
      <c r="E47" s="54"/>
      <c r="F47" s="54"/>
      <c r="G47" s="55"/>
      <c r="H47" s="54"/>
      <c r="I47" s="56">
        <v>2.4305555555555556E-2</v>
      </c>
      <c r="J47" s="56">
        <v>9.0277777777777787E-3</v>
      </c>
      <c r="K47" s="56">
        <v>3.472222222222222E-3</v>
      </c>
      <c r="L47" s="56">
        <v>2.4305555555555556E-2</v>
      </c>
      <c r="M47" s="56">
        <v>6.9444444444444441E-3</v>
      </c>
      <c r="N47" s="54"/>
      <c r="O47" s="54"/>
      <c r="P47" s="56">
        <v>1.4583333333333332E-2</v>
      </c>
      <c r="Q47" s="54"/>
      <c r="R47" s="62"/>
      <c r="U47" s="110"/>
    </row>
    <row r="48" spans="1:23" ht="52.5" thickBot="1" x14ac:dyDescent="0.3">
      <c r="A48" s="58" t="s">
        <v>28</v>
      </c>
      <c r="B48" s="58" t="s">
        <v>1</v>
      </c>
      <c r="C48" s="58" t="s">
        <v>2</v>
      </c>
      <c r="D48" s="59" t="s">
        <v>0</v>
      </c>
      <c r="E48" s="59"/>
      <c r="F48" s="58" t="s">
        <v>3</v>
      </c>
      <c r="G48" s="60" t="s">
        <v>4</v>
      </c>
      <c r="H48" s="61"/>
      <c r="I48" s="58" t="s">
        <v>5</v>
      </c>
      <c r="J48" s="58" t="s">
        <v>6</v>
      </c>
      <c r="K48" s="58" t="s">
        <v>7</v>
      </c>
      <c r="L48" s="58" t="s">
        <v>8</v>
      </c>
      <c r="M48" s="58" t="s">
        <v>9</v>
      </c>
      <c r="N48" s="58" t="s">
        <v>10</v>
      </c>
      <c r="O48" s="58" t="s">
        <v>57</v>
      </c>
      <c r="P48" s="58" t="s">
        <v>79</v>
      </c>
      <c r="Q48" s="58" t="s">
        <v>11</v>
      </c>
      <c r="R48" s="58" t="s">
        <v>12</v>
      </c>
      <c r="U48" s="110"/>
    </row>
    <row r="49" spans="1:22" x14ac:dyDescent="0.25">
      <c r="B49" s="5">
        <v>6</v>
      </c>
      <c r="C49" s="3">
        <v>32</v>
      </c>
      <c r="D49" s="3">
        <v>8</v>
      </c>
      <c r="E49" s="3"/>
      <c r="F49" s="81">
        <v>0.41666666666666669</v>
      </c>
      <c r="G49" s="37"/>
      <c r="H49" s="81"/>
      <c r="I49" s="81">
        <f>$F49+$I$47</f>
        <v>0.44097222222222227</v>
      </c>
      <c r="J49" s="81">
        <f t="shared" ref="J49:M51" si="36">I49+J$47</f>
        <v>0.45000000000000007</v>
      </c>
      <c r="K49" s="81">
        <f t="shared" si="36"/>
        <v>0.45347222222222228</v>
      </c>
      <c r="L49" s="81">
        <f t="shared" si="36"/>
        <v>0.47777777777777786</v>
      </c>
      <c r="M49" s="81">
        <f t="shared" si="36"/>
        <v>0.48472222222222228</v>
      </c>
      <c r="N49" s="81">
        <f>M49</f>
        <v>0.48472222222222228</v>
      </c>
      <c r="O49" s="3">
        <v>14</v>
      </c>
      <c r="P49" s="3"/>
      <c r="U49" s="110"/>
    </row>
    <row r="50" spans="1:22" x14ac:dyDescent="0.25">
      <c r="B50" s="5">
        <v>6</v>
      </c>
      <c r="C50" s="3">
        <f>C49+1</f>
        <v>33</v>
      </c>
      <c r="D50" s="3">
        <v>8</v>
      </c>
      <c r="E50" s="3"/>
      <c r="F50" s="81">
        <f>F49+G50</f>
        <v>0.5</v>
      </c>
      <c r="G50" s="37">
        <v>8.3333333333333329E-2</v>
      </c>
      <c r="H50" s="81"/>
      <c r="I50" s="81">
        <f>$F50+$I$47</f>
        <v>0.52430555555555558</v>
      </c>
      <c r="J50" s="81">
        <f t="shared" si="36"/>
        <v>0.53333333333333333</v>
      </c>
      <c r="K50" s="81">
        <f t="shared" si="36"/>
        <v>0.53680555555555554</v>
      </c>
      <c r="L50" s="81">
        <f t="shared" si="36"/>
        <v>0.56111111111111112</v>
      </c>
      <c r="M50" s="81">
        <f t="shared" si="36"/>
        <v>0.56805555555555554</v>
      </c>
      <c r="N50" s="81">
        <f>M50</f>
        <v>0.56805555555555554</v>
      </c>
      <c r="O50" s="3">
        <f>O49+1</f>
        <v>15</v>
      </c>
      <c r="P50" s="3"/>
      <c r="T50" s="2"/>
      <c r="U50" s="110"/>
    </row>
    <row r="51" spans="1:22" x14ac:dyDescent="0.25">
      <c r="B51" s="5">
        <v>10</v>
      </c>
      <c r="C51" s="3">
        <f t="shared" ref="C51" si="37">C50+1</f>
        <v>34</v>
      </c>
      <c r="D51" s="3">
        <v>8</v>
      </c>
      <c r="E51" s="3"/>
      <c r="F51" s="81">
        <f t="shared" ref="F51" si="38">F50+G51</f>
        <v>0.58333333333333337</v>
      </c>
      <c r="G51" s="37">
        <v>8.3333333333333329E-2</v>
      </c>
      <c r="H51" s="81"/>
      <c r="I51" s="81">
        <f>$F51+$I$47</f>
        <v>0.60763888888888895</v>
      </c>
      <c r="J51" s="81">
        <f t="shared" si="36"/>
        <v>0.6166666666666667</v>
      </c>
      <c r="K51" s="81">
        <f t="shared" si="36"/>
        <v>0.62013888888888891</v>
      </c>
      <c r="L51" s="81">
        <f t="shared" si="36"/>
        <v>0.64444444444444449</v>
      </c>
      <c r="M51" s="84">
        <f t="shared" si="36"/>
        <v>0.65138888888888891</v>
      </c>
      <c r="N51" s="84">
        <f>M51</f>
        <v>0.65138888888888891</v>
      </c>
      <c r="O51" s="3">
        <f>O50+1</f>
        <v>16</v>
      </c>
      <c r="P51" s="98">
        <f>L51+P47</f>
        <v>0.65902777777777777</v>
      </c>
      <c r="T51" s="2"/>
      <c r="U51" s="110">
        <f>L51-F49</f>
        <v>0.2277777777777778</v>
      </c>
      <c r="V51" s="4">
        <f>U51*24</f>
        <v>5.4666666666666668</v>
      </c>
    </row>
    <row r="52" spans="1:22" x14ac:dyDescent="0.25">
      <c r="B52" s="5"/>
      <c r="C52" s="3"/>
      <c r="D52" s="3"/>
      <c r="E52" s="3"/>
      <c r="F52" s="2"/>
      <c r="G52" s="37"/>
      <c r="I52" s="2"/>
      <c r="J52" s="2"/>
      <c r="K52" s="6"/>
      <c r="L52" s="6"/>
      <c r="M52" s="6"/>
      <c r="N52" s="6"/>
      <c r="Q52" s="2">
        <f>P51-N39</f>
        <v>0.24375000000000024</v>
      </c>
      <c r="R52" s="4">
        <f>Q52*24</f>
        <v>5.8500000000000059</v>
      </c>
      <c r="T52" s="2"/>
      <c r="U52" s="110"/>
    </row>
    <row r="53" spans="1:22" x14ac:dyDescent="0.25">
      <c r="A53" s="7" t="s">
        <v>20</v>
      </c>
      <c r="B53" s="8" t="s">
        <v>21</v>
      </c>
      <c r="C53" s="7"/>
      <c r="D53" s="9" t="s">
        <v>15</v>
      </c>
      <c r="E53" s="9"/>
      <c r="F53" s="9" t="s">
        <v>16</v>
      </c>
      <c r="G53" s="7" t="s">
        <v>17</v>
      </c>
      <c r="H53" s="7"/>
      <c r="I53" s="7"/>
      <c r="J53" s="7"/>
      <c r="K53" s="9" t="s">
        <v>18</v>
      </c>
      <c r="L53" s="7"/>
      <c r="M53" s="7"/>
      <c r="N53" s="7"/>
      <c r="O53" s="7"/>
      <c r="P53" s="7"/>
      <c r="Q53" s="7"/>
      <c r="R53" s="9" t="s">
        <v>90</v>
      </c>
      <c r="U53" s="110"/>
    </row>
    <row r="54" spans="1:22" x14ac:dyDescent="0.25">
      <c r="A54" s="10" t="s">
        <v>59</v>
      </c>
      <c r="B54" s="10">
        <f>SUM(B49:B52)</f>
        <v>22</v>
      </c>
      <c r="C54" s="10"/>
      <c r="D54" s="11">
        <f>COUNT(Q49:Q52)</f>
        <v>1</v>
      </c>
      <c r="E54" s="11"/>
      <c r="F54" s="11">
        <f>COUNT(C49:C52)</f>
        <v>3</v>
      </c>
      <c r="G54" s="12">
        <f>B54/F54</f>
        <v>7.333333333333333</v>
      </c>
      <c r="H54" s="10"/>
      <c r="I54" s="10"/>
      <c r="J54" s="10"/>
      <c r="K54" s="11">
        <f>COUNT(O49:O52)</f>
        <v>3</v>
      </c>
      <c r="L54" s="10"/>
      <c r="M54" s="10"/>
      <c r="N54" s="10"/>
      <c r="O54" s="10"/>
      <c r="P54" s="10"/>
      <c r="Q54" s="10"/>
      <c r="R54" s="139">
        <f>R52</f>
        <v>5.8500000000000059</v>
      </c>
      <c r="S54" s="4">
        <v>5.5000000000000071</v>
      </c>
      <c r="T54" s="100"/>
      <c r="U54" s="110"/>
    </row>
    <row r="55" spans="1:22" x14ac:dyDescent="0.25">
      <c r="A55" s="14"/>
      <c r="B55" s="15">
        <f>B54*E55</f>
        <v>88</v>
      </c>
      <c r="C55" s="14"/>
      <c r="D55" s="16" t="s">
        <v>110</v>
      </c>
      <c r="E55" s="136">
        <v>4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6" t="s">
        <v>89</v>
      </c>
      <c r="Q55" s="138">
        <v>60.24</v>
      </c>
      <c r="R55" s="15">
        <f>R54*Q55</f>
        <v>352.40400000000034</v>
      </c>
      <c r="S55" s="17">
        <v>331.32000000000045</v>
      </c>
      <c r="T55" s="100"/>
      <c r="U55" s="110"/>
    </row>
    <row r="56" spans="1:22" x14ac:dyDescent="0.25">
      <c r="A56" s="63"/>
      <c r="B56" s="64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5"/>
      <c r="R56" s="64"/>
      <c r="U56" s="110"/>
    </row>
    <row r="57" spans="1:22" x14ac:dyDescent="0.25">
      <c r="A57" s="54"/>
      <c r="B57" s="62"/>
      <c r="C57" s="54"/>
      <c r="D57" s="54"/>
      <c r="E57" s="96">
        <v>2.7777777777777776E-2</v>
      </c>
      <c r="F57" s="56"/>
      <c r="G57" s="56">
        <v>9.0277777777777787E-3</v>
      </c>
      <c r="H57" s="55"/>
      <c r="I57" s="56">
        <v>2.4305555555555556E-2</v>
      </c>
      <c r="J57" s="56"/>
      <c r="K57" s="56">
        <v>3.472222222222222E-3</v>
      </c>
      <c r="L57" s="56">
        <v>3.125E-2</v>
      </c>
      <c r="M57" s="56">
        <v>6.9444444444444441E-3</v>
      </c>
      <c r="N57" s="54"/>
      <c r="O57" s="54"/>
      <c r="P57" s="96">
        <v>1.4583333333333332E-2</v>
      </c>
      <c r="Q57" s="54"/>
      <c r="R57" s="62"/>
      <c r="U57" s="110"/>
    </row>
    <row r="58" spans="1:22" ht="39.75" thickBot="1" x14ac:dyDescent="0.3">
      <c r="A58" s="57" t="s">
        <v>52</v>
      </c>
      <c r="B58" s="58" t="s">
        <v>1</v>
      </c>
      <c r="C58" s="58" t="s">
        <v>2</v>
      </c>
      <c r="D58" s="59" t="s">
        <v>0</v>
      </c>
      <c r="E58" s="58" t="s">
        <v>78</v>
      </c>
      <c r="F58" s="58" t="s">
        <v>5</v>
      </c>
      <c r="G58" s="58" t="s">
        <v>6</v>
      </c>
      <c r="H58" s="66" t="s">
        <v>4</v>
      </c>
      <c r="I58" s="58" t="s">
        <v>22</v>
      </c>
      <c r="J58" s="58"/>
      <c r="K58" s="58" t="s">
        <v>23</v>
      </c>
      <c r="L58" s="58" t="s">
        <v>8</v>
      </c>
      <c r="M58" s="58" t="s">
        <v>9</v>
      </c>
      <c r="N58" s="58" t="s">
        <v>10</v>
      </c>
      <c r="O58" s="58" t="s">
        <v>57</v>
      </c>
      <c r="P58" s="58" t="s">
        <v>79</v>
      </c>
      <c r="Q58" s="58" t="s">
        <v>11</v>
      </c>
      <c r="R58" s="58" t="s">
        <v>12</v>
      </c>
      <c r="U58" s="110"/>
    </row>
    <row r="59" spans="1:22" x14ac:dyDescent="0.25">
      <c r="B59" s="5">
        <f t="shared" ref="B59:B65" si="39">ROUND(48*0.25,0)</f>
        <v>12</v>
      </c>
      <c r="C59" s="5">
        <v>1</v>
      </c>
      <c r="D59" s="5">
        <v>1</v>
      </c>
      <c r="E59" s="97">
        <f>F59-$E$57</f>
        <v>0.60763888888888884</v>
      </c>
      <c r="F59" s="81">
        <v>0.63541666666666663</v>
      </c>
      <c r="G59" s="81">
        <f>F59+G$57</f>
        <v>0.64444444444444438</v>
      </c>
      <c r="H59" s="87"/>
      <c r="I59" s="81">
        <f>$G59+$I$57</f>
        <v>0.66874999999999996</v>
      </c>
      <c r="J59" s="81"/>
      <c r="K59" s="81">
        <f>I59+K$57</f>
        <v>0.67222222222222217</v>
      </c>
      <c r="L59" s="81">
        <f>K59+L$57</f>
        <v>0.70347222222222217</v>
      </c>
      <c r="M59" s="81">
        <f>L59+M$57</f>
        <v>0.71041666666666659</v>
      </c>
      <c r="N59" s="81">
        <f>M59</f>
        <v>0.71041666666666659</v>
      </c>
      <c r="O59" s="3">
        <v>1</v>
      </c>
      <c r="P59" s="3"/>
      <c r="Q59" s="2"/>
      <c r="U59" s="110"/>
    </row>
    <row r="60" spans="1:22" x14ac:dyDescent="0.25">
      <c r="B60" s="5">
        <f t="shared" si="39"/>
        <v>12</v>
      </c>
      <c r="C60" s="5">
        <f>C59+1</f>
        <v>2</v>
      </c>
      <c r="D60" s="5">
        <v>2</v>
      </c>
      <c r="E60" s="97">
        <f t="shared" ref="E60:E78" si="40">F60-$E$57</f>
        <v>0.61805555555555547</v>
      </c>
      <c r="F60" s="81">
        <f t="shared" ref="F60:F99" si="41">F59+H60</f>
        <v>0.64583333333333326</v>
      </c>
      <c r="G60" s="81">
        <f t="shared" ref="G60:G99" si="42">F60+G$57</f>
        <v>0.65486111111111101</v>
      </c>
      <c r="H60" s="37">
        <v>1.0416666666666666E-2</v>
      </c>
      <c r="I60" s="81">
        <f t="shared" ref="I60:I99" si="43">$G60+$I$57</f>
        <v>0.67916666666666659</v>
      </c>
      <c r="J60" s="81"/>
      <c r="K60" s="81">
        <f t="shared" ref="K60:K99" si="44">I60+K$57</f>
        <v>0.6826388888888888</v>
      </c>
      <c r="L60" s="81">
        <f t="shared" ref="L60:M79" si="45">K60+L$57</f>
        <v>0.7138888888888888</v>
      </c>
      <c r="M60" s="81">
        <f t="shared" si="45"/>
        <v>0.72083333333333321</v>
      </c>
      <c r="N60" s="81">
        <f t="shared" ref="N60:N99" si="46">M60</f>
        <v>0.72083333333333321</v>
      </c>
      <c r="O60" s="3">
        <f>O59+1</f>
        <v>2</v>
      </c>
      <c r="P60" s="3"/>
      <c r="Q60" s="2"/>
      <c r="U60" s="110"/>
    </row>
    <row r="61" spans="1:22" x14ac:dyDescent="0.25">
      <c r="B61" s="5">
        <f t="shared" si="39"/>
        <v>12</v>
      </c>
      <c r="C61" s="5">
        <f t="shared" ref="C61:C99" si="47">C60+1</f>
        <v>3</v>
      </c>
      <c r="D61" s="5">
        <v>3</v>
      </c>
      <c r="E61" s="97">
        <f t="shared" si="40"/>
        <v>0.6284722222222221</v>
      </c>
      <c r="F61" s="81">
        <f t="shared" si="41"/>
        <v>0.65624999999999989</v>
      </c>
      <c r="G61" s="81">
        <f t="shared" si="42"/>
        <v>0.66527777777777763</v>
      </c>
      <c r="H61" s="37">
        <v>1.0416666666666666E-2</v>
      </c>
      <c r="I61" s="81">
        <f t="shared" si="43"/>
        <v>0.68958333333333321</v>
      </c>
      <c r="J61" s="81"/>
      <c r="K61" s="81">
        <f t="shared" si="44"/>
        <v>0.69305555555555542</v>
      </c>
      <c r="L61" s="81">
        <f t="shared" si="45"/>
        <v>0.72430555555555542</v>
      </c>
      <c r="M61" s="81">
        <f t="shared" si="45"/>
        <v>0.73124999999999984</v>
      </c>
      <c r="N61" s="81">
        <f t="shared" si="46"/>
        <v>0.73124999999999984</v>
      </c>
      <c r="O61" s="3">
        <f t="shared" ref="O61:O65" si="48">O60+1</f>
        <v>3</v>
      </c>
      <c r="P61" s="3"/>
      <c r="Q61" s="2"/>
      <c r="U61" s="110"/>
    </row>
    <row r="62" spans="1:22" x14ac:dyDescent="0.25">
      <c r="B62" s="5">
        <f t="shared" si="39"/>
        <v>12</v>
      </c>
      <c r="C62" s="5">
        <f t="shared" si="47"/>
        <v>4</v>
      </c>
      <c r="D62" s="5">
        <v>4</v>
      </c>
      <c r="E62" s="97">
        <f t="shared" si="40"/>
        <v>0.63888888888888873</v>
      </c>
      <c r="F62" s="81">
        <f t="shared" si="41"/>
        <v>0.66666666666666652</v>
      </c>
      <c r="G62" s="81">
        <f t="shared" si="42"/>
        <v>0.67569444444444426</v>
      </c>
      <c r="H62" s="37">
        <v>1.0416666666666666E-2</v>
      </c>
      <c r="I62" s="81">
        <f t="shared" si="43"/>
        <v>0.69999999999999984</v>
      </c>
      <c r="J62" s="81"/>
      <c r="K62" s="81">
        <f t="shared" si="44"/>
        <v>0.70347222222222205</v>
      </c>
      <c r="L62" s="81">
        <f t="shared" si="45"/>
        <v>0.73472222222222205</v>
      </c>
      <c r="M62" s="81">
        <f t="shared" si="45"/>
        <v>0.74166666666666647</v>
      </c>
      <c r="N62" s="81">
        <f t="shared" si="46"/>
        <v>0.74166666666666647</v>
      </c>
      <c r="O62" s="3">
        <f t="shared" si="48"/>
        <v>4</v>
      </c>
      <c r="P62" s="3"/>
      <c r="Q62" s="2"/>
      <c r="U62" s="110"/>
    </row>
    <row r="63" spans="1:22" x14ac:dyDescent="0.25">
      <c r="B63" s="5">
        <f t="shared" si="39"/>
        <v>12</v>
      </c>
      <c r="C63" s="5">
        <f t="shared" si="47"/>
        <v>5</v>
      </c>
      <c r="D63" s="5">
        <v>5</v>
      </c>
      <c r="E63" s="97">
        <f t="shared" si="40"/>
        <v>0.64583333333333315</v>
      </c>
      <c r="F63" s="81">
        <f t="shared" si="41"/>
        <v>0.67361111111111094</v>
      </c>
      <c r="G63" s="81">
        <f t="shared" si="42"/>
        <v>0.68263888888888868</v>
      </c>
      <c r="H63" s="37">
        <v>6.9444444444444441E-3</v>
      </c>
      <c r="I63" s="81">
        <f t="shared" si="43"/>
        <v>0.70694444444444426</v>
      </c>
      <c r="J63" s="81"/>
      <c r="K63" s="81">
        <f t="shared" si="44"/>
        <v>0.71041666666666647</v>
      </c>
      <c r="L63" s="81">
        <f t="shared" si="45"/>
        <v>0.74166666666666647</v>
      </c>
      <c r="M63" s="81">
        <f t="shared" si="45"/>
        <v>0.74861111111111089</v>
      </c>
      <c r="N63" s="81">
        <f t="shared" si="46"/>
        <v>0.74861111111111089</v>
      </c>
      <c r="O63" s="3">
        <f t="shared" si="48"/>
        <v>5</v>
      </c>
      <c r="P63" s="3"/>
      <c r="Q63" s="2"/>
      <c r="U63" s="110"/>
    </row>
    <row r="64" spans="1:22" x14ac:dyDescent="0.25">
      <c r="B64" s="5">
        <f t="shared" si="39"/>
        <v>12</v>
      </c>
      <c r="C64" s="5">
        <f t="shared" si="47"/>
        <v>6</v>
      </c>
      <c r="D64" s="5">
        <v>6</v>
      </c>
      <c r="E64" s="97">
        <f t="shared" si="40"/>
        <v>0.65277777777777757</v>
      </c>
      <c r="F64" s="81">
        <f t="shared" si="41"/>
        <v>0.68055555555555536</v>
      </c>
      <c r="G64" s="81">
        <f t="shared" si="42"/>
        <v>0.6895833333333331</v>
      </c>
      <c r="H64" s="37">
        <v>6.9444444444444441E-3</v>
      </c>
      <c r="I64" s="81">
        <f t="shared" si="43"/>
        <v>0.71388888888888868</v>
      </c>
      <c r="J64" s="81"/>
      <c r="K64" s="81">
        <f t="shared" si="44"/>
        <v>0.71736111111111089</v>
      </c>
      <c r="L64" s="81">
        <f t="shared" si="45"/>
        <v>0.74861111111111089</v>
      </c>
      <c r="M64" s="81">
        <f t="shared" si="45"/>
        <v>0.75555555555555531</v>
      </c>
      <c r="N64" s="82">
        <f t="shared" si="46"/>
        <v>0.75555555555555531</v>
      </c>
      <c r="O64" s="3">
        <f t="shared" si="48"/>
        <v>6</v>
      </c>
      <c r="P64" s="3"/>
      <c r="Q64" s="2"/>
      <c r="U64" s="110"/>
    </row>
    <row r="65" spans="2:22" x14ac:dyDescent="0.25">
      <c r="B65" s="5">
        <f t="shared" si="39"/>
        <v>12</v>
      </c>
      <c r="C65" s="5">
        <f t="shared" si="47"/>
        <v>7</v>
      </c>
      <c r="D65" s="5">
        <v>7</v>
      </c>
      <c r="E65" s="97">
        <f t="shared" si="40"/>
        <v>0.65972222222222199</v>
      </c>
      <c r="F65" s="81">
        <f t="shared" si="41"/>
        <v>0.68749999999999978</v>
      </c>
      <c r="G65" s="81">
        <f t="shared" si="42"/>
        <v>0.69652777777777752</v>
      </c>
      <c r="H65" s="37">
        <v>6.9444444444444441E-3</v>
      </c>
      <c r="I65" s="81">
        <f t="shared" si="43"/>
        <v>0.7208333333333331</v>
      </c>
      <c r="J65" s="81"/>
      <c r="K65" s="81">
        <f t="shared" si="44"/>
        <v>0.72430555555555531</v>
      </c>
      <c r="L65" s="81">
        <f t="shared" si="45"/>
        <v>0.75555555555555531</v>
      </c>
      <c r="M65" s="81">
        <f t="shared" si="45"/>
        <v>0.76249999999999973</v>
      </c>
      <c r="N65" s="82">
        <f t="shared" si="46"/>
        <v>0.76249999999999973</v>
      </c>
      <c r="O65" s="3">
        <f t="shared" si="48"/>
        <v>7</v>
      </c>
      <c r="P65" s="3"/>
      <c r="Q65" s="2"/>
      <c r="U65" s="110"/>
    </row>
    <row r="66" spans="2:22" x14ac:dyDescent="0.25">
      <c r="B66" s="5">
        <f t="shared" ref="B66:B67" si="49">ROUND(48*0.5,0)</f>
        <v>24</v>
      </c>
      <c r="C66" s="5">
        <f t="shared" si="47"/>
        <v>8</v>
      </c>
      <c r="D66" s="113">
        <v>21</v>
      </c>
      <c r="E66" s="114">
        <f t="shared" si="40"/>
        <v>0.6631944444444442</v>
      </c>
      <c r="F66" s="81">
        <f t="shared" si="41"/>
        <v>0.69097222222222199</v>
      </c>
      <c r="G66" s="81">
        <f t="shared" si="42"/>
        <v>0.69999999999999973</v>
      </c>
      <c r="H66" s="37">
        <v>3.472222222222222E-3</v>
      </c>
      <c r="I66" s="81">
        <f t="shared" si="43"/>
        <v>0.72430555555555531</v>
      </c>
      <c r="J66" s="81"/>
      <c r="K66" s="84">
        <f t="shared" si="44"/>
        <v>0.72777777777777752</v>
      </c>
      <c r="L66" s="84">
        <f t="shared" si="45"/>
        <v>0.75902777777777752</v>
      </c>
      <c r="M66" s="84">
        <f t="shared" si="45"/>
        <v>0.76597222222222194</v>
      </c>
      <c r="N66" s="84">
        <f t="shared" si="46"/>
        <v>0.76597222222222194</v>
      </c>
      <c r="P66" s="81">
        <f>I66+$P$57</f>
        <v>0.7388888888888886</v>
      </c>
      <c r="Q66" s="2">
        <f>P66-E66</f>
        <v>7.5694444444444398E-2</v>
      </c>
      <c r="R66" s="4">
        <f>Q66*24</f>
        <v>1.8166666666666655</v>
      </c>
      <c r="U66" s="110">
        <f>I66-F66</f>
        <v>3.3333333333333326E-2</v>
      </c>
      <c r="V66" s="4">
        <f t="shared" ref="V66:V87" si="50">U66*24</f>
        <v>0.79999999999999982</v>
      </c>
    </row>
    <row r="67" spans="2:22" x14ac:dyDescent="0.25">
      <c r="B67" s="5">
        <f t="shared" si="49"/>
        <v>24</v>
      </c>
      <c r="C67" s="5">
        <f t="shared" si="47"/>
        <v>9</v>
      </c>
      <c r="D67" s="18">
        <v>9</v>
      </c>
      <c r="E67" s="97">
        <f t="shared" si="40"/>
        <v>0.66666666666666641</v>
      </c>
      <c r="F67" s="81">
        <f t="shared" si="41"/>
        <v>0.6944444444444442</v>
      </c>
      <c r="G67" s="81">
        <f t="shared" si="42"/>
        <v>0.70347222222222194</v>
      </c>
      <c r="H67" s="37">
        <v>3.472222222222222E-3</v>
      </c>
      <c r="I67" s="81">
        <f t="shared" si="43"/>
        <v>0.72777777777777752</v>
      </c>
      <c r="J67" s="81"/>
      <c r="K67" s="81">
        <f t="shared" si="44"/>
        <v>0.73124999999999973</v>
      </c>
      <c r="L67" s="81">
        <f t="shared" si="45"/>
        <v>0.76249999999999973</v>
      </c>
      <c r="M67" s="81">
        <f t="shared" si="45"/>
        <v>0.76944444444444415</v>
      </c>
      <c r="N67" s="82">
        <f t="shared" si="46"/>
        <v>0.76944444444444415</v>
      </c>
      <c r="O67" s="3">
        <f>O65+1</f>
        <v>8</v>
      </c>
      <c r="P67" s="3"/>
      <c r="Q67" s="2"/>
      <c r="R67" s="4"/>
      <c r="U67" s="110"/>
    </row>
    <row r="68" spans="2:22" x14ac:dyDescent="0.25">
      <c r="B68" s="5">
        <f>ROUND(48*0.5*14/21,0)</f>
        <v>16</v>
      </c>
      <c r="C68" s="5">
        <f t="shared" si="47"/>
        <v>10</v>
      </c>
      <c r="D68" s="18">
        <v>10</v>
      </c>
      <c r="E68" s="97">
        <f t="shared" si="40"/>
        <v>0.67013888888888862</v>
      </c>
      <c r="F68" s="81">
        <f t="shared" si="41"/>
        <v>0.69791666666666641</v>
      </c>
      <c r="G68" s="81">
        <f t="shared" si="42"/>
        <v>0.70694444444444415</v>
      </c>
      <c r="H68" s="37">
        <v>3.472222222222222E-3</v>
      </c>
      <c r="I68" s="81">
        <f t="shared" si="43"/>
        <v>0.73124999999999973</v>
      </c>
      <c r="J68" s="81"/>
      <c r="K68" s="84">
        <f t="shared" si="44"/>
        <v>0.73472222222222194</v>
      </c>
      <c r="L68" s="84">
        <f t="shared" si="45"/>
        <v>0.76597222222222194</v>
      </c>
      <c r="M68" s="84">
        <f t="shared" si="45"/>
        <v>0.77291666666666636</v>
      </c>
      <c r="N68" s="84">
        <f t="shared" si="46"/>
        <v>0.77291666666666636</v>
      </c>
      <c r="P68" s="81">
        <f>I68+$P$57</f>
        <v>0.74583333333333302</v>
      </c>
      <c r="Q68" s="2">
        <f>P68-E68</f>
        <v>7.5694444444444398E-2</v>
      </c>
      <c r="R68" s="4">
        <f t="shared" ref="R68:R82" si="51">Q68*24</f>
        <v>1.8166666666666655</v>
      </c>
      <c r="U68" s="110">
        <f>I68-F68</f>
        <v>3.3333333333333326E-2</v>
      </c>
      <c r="V68" s="4">
        <f t="shared" si="50"/>
        <v>0.79999999999999982</v>
      </c>
    </row>
    <row r="69" spans="2:22" x14ac:dyDescent="0.25">
      <c r="B69" s="5">
        <f>B68</f>
        <v>16</v>
      </c>
      <c r="C69" s="5">
        <f t="shared" si="47"/>
        <v>11</v>
      </c>
      <c r="D69" s="72">
        <v>22</v>
      </c>
      <c r="E69" s="101">
        <f t="shared" si="40"/>
        <v>0.6715277777777775</v>
      </c>
      <c r="F69" s="85">
        <f t="shared" ref="F69" si="52">F68+H69</f>
        <v>0.69930555555555529</v>
      </c>
      <c r="G69" s="85">
        <f t="shared" ref="G69" si="53">F69+G$57</f>
        <v>0.70833333333333304</v>
      </c>
      <c r="H69" s="71">
        <v>1.3888888888888889E-3</v>
      </c>
      <c r="I69" s="85">
        <f t="shared" si="43"/>
        <v>0.73263888888888862</v>
      </c>
      <c r="J69" s="81"/>
      <c r="K69" s="84">
        <f t="shared" ref="K69" si="54">I69+K$57</f>
        <v>0.73611111111111083</v>
      </c>
      <c r="L69" s="84">
        <f t="shared" ref="L69" si="55">K69+L$57</f>
        <v>0.76736111111111083</v>
      </c>
      <c r="M69" s="84">
        <f t="shared" ref="M69" si="56">L69+M$57</f>
        <v>0.77430555555555525</v>
      </c>
      <c r="N69" s="84">
        <f t="shared" ref="N69" si="57">M69</f>
        <v>0.77430555555555525</v>
      </c>
      <c r="P69" s="85">
        <f>I69+$P$57</f>
        <v>0.7472222222222219</v>
      </c>
      <c r="Q69" s="69">
        <f>P69-E69</f>
        <v>7.5694444444444398E-2</v>
      </c>
      <c r="R69" s="70">
        <f t="shared" ref="R69" si="58">Q69*24</f>
        <v>1.8166666666666655</v>
      </c>
      <c r="U69" s="110">
        <f>I69-F69</f>
        <v>3.3333333333333326E-2</v>
      </c>
      <c r="V69" s="4">
        <f t="shared" si="50"/>
        <v>0.79999999999999982</v>
      </c>
    </row>
    <row r="70" spans="2:22" x14ac:dyDescent="0.25">
      <c r="B70" s="5">
        <f>ROUND(48*0.75*14/21,0)</f>
        <v>24</v>
      </c>
      <c r="C70" s="5">
        <f t="shared" si="47"/>
        <v>12</v>
      </c>
      <c r="D70" s="19">
        <v>11</v>
      </c>
      <c r="E70" s="97">
        <f t="shared" si="40"/>
        <v>0.67291666666666639</v>
      </c>
      <c r="F70" s="81">
        <f t="shared" ref="F70:F87" si="59">F69+H70</f>
        <v>0.70069444444444418</v>
      </c>
      <c r="G70" s="81">
        <f>F70+G$57</f>
        <v>0.70972222222222192</v>
      </c>
      <c r="H70" s="103">
        <v>1.3888888888888889E-3</v>
      </c>
      <c r="I70" s="81">
        <f t="shared" si="43"/>
        <v>0.7340277777777775</v>
      </c>
      <c r="J70" s="81"/>
      <c r="K70" s="84">
        <f t="shared" si="44"/>
        <v>0.73749999999999971</v>
      </c>
      <c r="L70" s="84">
        <f t="shared" si="45"/>
        <v>0.76874999999999971</v>
      </c>
      <c r="M70" s="84">
        <f t="shared" si="45"/>
        <v>0.77569444444444413</v>
      </c>
      <c r="N70" s="84">
        <f t="shared" si="46"/>
        <v>0.77569444444444413</v>
      </c>
      <c r="P70" s="81">
        <f>I70+$P$57</f>
        <v>0.74861111111111078</v>
      </c>
      <c r="Q70" s="2">
        <f>P70-E70</f>
        <v>7.5694444444444398E-2</v>
      </c>
      <c r="R70" s="4">
        <f t="shared" si="51"/>
        <v>1.8166666666666655</v>
      </c>
      <c r="U70" s="110">
        <f>I70-F70</f>
        <v>3.3333333333333326E-2</v>
      </c>
      <c r="V70" s="4">
        <f t="shared" si="50"/>
        <v>0.79999999999999982</v>
      </c>
    </row>
    <row r="71" spans="2:22" x14ac:dyDescent="0.25">
      <c r="B71" s="5">
        <f>ROUND(48*0.75*14/21,0)</f>
        <v>24</v>
      </c>
      <c r="C71" s="5">
        <f t="shared" si="47"/>
        <v>13</v>
      </c>
      <c r="D71" s="19">
        <v>12</v>
      </c>
      <c r="E71" s="97">
        <f t="shared" si="40"/>
        <v>0.67499999999999971</v>
      </c>
      <c r="F71" s="81">
        <f t="shared" si="59"/>
        <v>0.7027777777777775</v>
      </c>
      <c r="G71" s="81">
        <f t="shared" si="42"/>
        <v>0.71180555555555525</v>
      </c>
      <c r="H71" s="37">
        <v>2.0833333333333333E-3</v>
      </c>
      <c r="I71" s="81">
        <f t="shared" si="43"/>
        <v>0.73611111111111083</v>
      </c>
      <c r="J71" s="81"/>
      <c r="K71" s="84">
        <f t="shared" si="44"/>
        <v>0.73958333333333304</v>
      </c>
      <c r="L71" s="84">
        <f t="shared" si="45"/>
        <v>0.77083333333333304</v>
      </c>
      <c r="M71" s="84">
        <f t="shared" si="45"/>
        <v>0.77777777777777746</v>
      </c>
      <c r="N71" s="84">
        <f t="shared" si="46"/>
        <v>0.77777777777777746</v>
      </c>
      <c r="O71" s="3"/>
      <c r="P71" s="81">
        <f>I71+$P$57</f>
        <v>0.75069444444444411</v>
      </c>
      <c r="Q71" s="2">
        <f>P71-E71</f>
        <v>7.5694444444444398E-2</v>
      </c>
      <c r="R71" s="4">
        <f t="shared" ref="R71:R72" si="60">Q71*24</f>
        <v>1.8166666666666655</v>
      </c>
      <c r="U71" s="110">
        <f>I71-F71</f>
        <v>3.3333333333333326E-2</v>
      </c>
      <c r="V71" s="4">
        <f t="shared" si="50"/>
        <v>0.79999999999999982</v>
      </c>
    </row>
    <row r="72" spans="2:22" x14ac:dyDescent="0.25">
      <c r="B72" s="5">
        <f>B71</f>
        <v>24</v>
      </c>
      <c r="C72" s="5">
        <f t="shared" si="47"/>
        <v>14</v>
      </c>
      <c r="D72" s="73">
        <v>23</v>
      </c>
      <c r="E72" s="101">
        <f t="shared" si="40"/>
        <v>0.6763888888888886</v>
      </c>
      <c r="F72" s="85">
        <f t="shared" si="59"/>
        <v>0.70416666666666639</v>
      </c>
      <c r="G72" s="85">
        <f t="shared" si="42"/>
        <v>0.71319444444444413</v>
      </c>
      <c r="H72" s="71">
        <v>1.3888888888888889E-3</v>
      </c>
      <c r="I72" s="85">
        <f t="shared" si="43"/>
        <v>0.73749999999999971</v>
      </c>
      <c r="J72" s="81"/>
      <c r="K72" s="84">
        <f t="shared" si="44"/>
        <v>0.74097222222222192</v>
      </c>
      <c r="L72" s="84">
        <f t="shared" si="45"/>
        <v>0.77222222222222192</v>
      </c>
      <c r="M72" s="84">
        <f t="shared" si="45"/>
        <v>0.77916666666666634</v>
      </c>
      <c r="N72" s="84">
        <f t="shared" si="46"/>
        <v>0.77916666666666634</v>
      </c>
      <c r="P72" s="85">
        <f>I72+$P$57</f>
        <v>0.75208333333333299</v>
      </c>
      <c r="Q72" s="69">
        <f>P72-E72</f>
        <v>7.5694444444444398E-2</v>
      </c>
      <c r="R72" s="70">
        <f t="shared" si="60"/>
        <v>1.8166666666666655</v>
      </c>
      <c r="U72" s="110">
        <f>I72-F72</f>
        <v>3.3333333333333326E-2</v>
      </c>
      <c r="V72" s="4">
        <f t="shared" si="50"/>
        <v>0.79999999999999982</v>
      </c>
    </row>
    <row r="73" spans="2:22" x14ac:dyDescent="0.25">
      <c r="B73" s="5">
        <f>ROUND(48*0.75*14/21,0)</f>
        <v>24</v>
      </c>
      <c r="C73" s="5">
        <f t="shared" si="47"/>
        <v>15</v>
      </c>
      <c r="D73" s="19">
        <v>13</v>
      </c>
      <c r="E73" s="97">
        <f t="shared" si="40"/>
        <v>0.67847222222222192</v>
      </c>
      <c r="F73" s="81">
        <f t="shared" si="59"/>
        <v>0.70624999999999971</v>
      </c>
      <c r="G73" s="81">
        <f t="shared" si="42"/>
        <v>0.71527777777777746</v>
      </c>
      <c r="H73" s="37">
        <v>2.0833333333333333E-3</v>
      </c>
      <c r="I73" s="81">
        <f t="shared" si="43"/>
        <v>0.73958333333333304</v>
      </c>
      <c r="J73" s="81"/>
      <c r="K73" s="86">
        <f t="shared" si="44"/>
        <v>0.74305555555555525</v>
      </c>
      <c r="L73" s="86">
        <f t="shared" si="45"/>
        <v>0.77430555555555525</v>
      </c>
      <c r="M73" s="86">
        <f>L73+M$57</f>
        <v>0.78124999999999967</v>
      </c>
      <c r="N73" s="88">
        <v>0.28055555555555556</v>
      </c>
      <c r="O73" s="3">
        <f>O67+1</f>
        <v>9</v>
      </c>
      <c r="P73" s="3"/>
      <c r="Q73" s="2"/>
      <c r="R73" s="4"/>
      <c r="U73" s="110"/>
    </row>
    <row r="74" spans="2:22" x14ac:dyDescent="0.25">
      <c r="B74" s="5">
        <f>ROUND(41*14/21,0)</f>
        <v>27</v>
      </c>
      <c r="C74" s="5">
        <f t="shared" si="47"/>
        <v>16</v>
      </c>
      <c r="D74" s="19">
        <v>14</v>
      </c>
      <c r="E74" s="97">
        <f t="shared" si="40"/>
        <v>0.68055555555555525</v>
      </c>
      <c r="F74" s="81">
        <f t="shared" si="59"/>
        <v>0.70833333333333304</v>
      </c>
      <c r="G74" s="81">
        <f t="shared" si="42"/>
        <v>0.71736111111111078</v>
      </c>
      <c r="H74" s="37">
        <v>2.0833333333333333E-3</v>
      </c>
      <c r="I74" s="81">
        <f t="shared" si="43"/>
        <v>0.74166666666666636</v>
      </c>
      <c r="J74" s="81"/>
      <c r="K74" s="84">
        <f t="shared" si="44"/>
        <v>0.74513888888888857</v>
      </c>
      <c r="L74" s="84">
        <f t="shared" si="45"/>
        <v>0.77638888888888857</v>
      </c>
      <c r="M74" s="84">
        <f t="shared" si="45"/>
        <v>0.78333333333333299</v>
      </c>
      <c r="N74" s="84">
        <f t="shared" si="46"/>
        <v>0.78333333333333299</v>
      </c>
      <c r="P74" s="81">
        <f t="shared" ref="P74:P79" si="61">I74+$P$57</f>
        <v>0.75624999999999964</v>
      </c>
      <c r="Q74" s="2">
        <f>P74-E74</f>
        <v>7.5694444444444398E-2</v>
      </c>
      <c r="R74" s="4">
        <f t="shared" si="51"/>
        <v>1.8166666666666655</v>
      </c>
      <c r="U74" s="110">
        <f>I74-F74</f>
        <v>3.3333333333333326E-2</v>
      </c>
      <c r="V74" s="4">
        <f t="shared" si="50"/>
        <v>0.79999999999999982</v>
      </c>
    </row>
    <row r="75" spans="2:22" x14ac:dyDescent="0.25">
      <c r="B75" s="5">
        <f>B74</f>
        <v>27</v>
      </c>
      <c r="C75" s="5">
        <f t="shared" si="47"/>
        <v>17</v>
      </c>
      <c r="D75" s="73">
        <v>24</v>
      </c>
      <c r="E75" s="101">
        <f t="shared" si="40"/>
        <v>0.68194444444444413</v>
      </c>
      <c r="F75" s="85">
        <f t="shared" si="59"/>
        <v>0.70972222222222192</v>
      </c>
      <c r="G75" s="85">
        <f t="shared" ref="G75" si="62">F75+G$57</f>
        <v>0.71874999999999967</v>
      </c>
      <c r="H75" s="71">
        <v>1.3888888888888889E-3</v>
      </c>
      <c r="I75" s="85">
        <f t="shared" si="43"/>
        <v>0.74305555555555525</v>
      </c>
      <c r="J75" s="81"/>
      <c r="K75" s="84">
        <f t="shared" ref="K75" si="63">I75+K$57</f>
        <v>0.74652777777777746</v>
      </c>
      <c r="L75" s="84">
        <f t="shared" ref="L75" si="64">K75+L$57</f>
        <v>0.77777777777777746</v>
      </c>
      <c r="M75" s="84">
        <f t="shared" ref="M75" si="65">L75+M$57</f>
        <v>0.78472222222222188</v>
      </c>
      <c r="N75" s="84">
        <f t="shared" ref="N75" si="66">M75</f>
        <v>0.78472222222222188</v>
      </c>
      <c r="P75" s="85">
        <f t="shared" si="61"/>
        <v>0.75763888888888853</v>
      </c>
      <c r="Q75" s="69">
        <f>P75-E75</f>
        <v>7.5694444444444398E-2</v>
      </c>
      <c r="R75" s="70">
        <f t="shared" si="51"/>
        <v>1.8166666666666655</v>
      </c>
      <c r="U75" s="110">
        <f>I75-F75</f>
        <v>3.3333333333333326E-2</v>
      </c>
      <c r="V75" s="4">
        <f t="shared" si="50"/>
        <v>0.79999999999999982</v>
      </c>
    </row>
    <row r="76" spans="2:22" x14ac:dyDescent="0.25">
      <c r="B76" s="5">
        <f t="shared" ref="B76:B85" si="67">ROUND(41*14/21,0)</f>
        <v>27</v>
      </c>
      <c r="C76" s="5">
        <f t="shared" si="47"/>
        <v>18</v>
      </c>
      <c r="D76" s="19">
        <v>15</v>
      </c>
      <c r="E76" s="97">
        <f t="shared" si="40"/>
        <v>0.68402777777777746</v>
      </c>
      <c r="F76" s="81">
        <f t="shared" si="59"/>
        <v>0.71180555555555525</v>
      </c>
      <c r="G76" s="81">
        <f t="shared" si="42"/>
        <v>0.72083333333333299</v>
      </c>
      <c r="H76" s="37">
        <v>2.0833333333333333E-3</v>
      </c>
      <c r="I76" s="81">
        <f t="shared" si="43"/>
        <v>0.74513888888888857</v>
      </c>
      <c r="J76" s="81"/>
      <c r="K76" s="84">
        <f t="shared" si="44"/>
        <v>0.74861111111111078</v>
      </c>
      <c r="L76" s="84">
        <f t="shared" si="45"/>
        <v>0.77986111111111078</v>
      </c>
      <c r="M76" s="84">
        <f t="shared" si="45"/>
        <v>0.7868055555555552</v>
      </c>
      <c r="N76" s="84">
        <f t="shared" si="46"/>
        <v>0.7868055555555552</v>
      </c>
      <c r="P76" s="81">
        <f t="shared" si="61"/>
        <v>0.75972222222222185</v>
      </c>
      <c r="Q76" s="2">
        <f>P76-E76</f>
        <v>7.5694444444444398E-2</v>
      </c>
      <c r="R76" s="4">
        <f t="shared" si="51"/>
        <v>1.8166666666666655</v>
      </c>
      <c r="U76" s="110">
        <f>I76-F76</f>
        <v>3.3333333333333326E-2</v>
      </c>
      <c r="V76" s="4">
        <f t="shared" si="50"/>
        <v>0.79999999999999982</v>
      </c>
    </row>
    <row r="77" spans="2:22" x14ac:dyDescent="0.25">
      <c r="B77" s="5">
        <f t="shared" si="67"/>
        <v>27</v>
      </c>
      <c r="C77" s="5">
        <f t="shared" si="47"/>
        <v>19</v>
      </c>
      <c r="D77" s="19">
        <v>1</v>
      </c>
      <c r="E77" s="19"/>
      <c r="F77" s="81">
        <f t="shared" si="59"/>
        <v>0.71388888888888857</v>
      </c>
      <c r="G77" s="81">
        <f t="shared" si="42"/>
        <v>0.72291666666666632</v>
      </c>
      <c r="H77" s="37">
        <v>2.0833333333333333E-3</v>
      </c>
      <c r="I77" s="81">
        <f t="shared" si="43"/>
        <v>0.7472222222222219</v>
      </c>
      <c r="J77" s="81"/>
      <c r="K77" s="84">
        <f t="shared" si="44"/>
        <v>0.75069444444444411</v>
      </c>
      <c r="L77" s="84">
        <f t="shared" si="45"/>
        <v>0.78194444444444411</v>
      </c>
      <c r="M77" s="84">
        <f t="shared" si="45"/>
        <v>0.78888888888888853</v>
      </c>
      <c r="N77" s="84">
        <f t="shared" si="46"/>
        <v>0.78888888888888853</v>
      </c>
      <c r="P77" s="81">
        <f t="shared" si="61"/>
        <v>0.76180555555555518</v>
      </c>
      <c r="Q77" s="2">
        <f>P77-E59</f>
        <v>0.15416666666666634</v>
      </c>
      <c r="R77" s="4">
        <f t="shared" si="51"/>
        <v>3.6999999999999922</v>
      </c>
      <c r="U77" s="110">
        <f>I77-F59</f>
        <v>0.11180555555555527</v>
      </c>
      <c r="V77" s="4">
        <f t="shared" si="50"/>
        <v>2.6833333333333265</v>
      </c>
    </row>
    <row r="78" spans="2:22" x14ac:dyDescent="0.25">
      <c r="B78" s="5">
        <f t="shared" si="67"/>
        <v>27</v>
      </c>
      <c r="C78" s="5">
        <f t="shared" si="47"/>
        <v>20</v>
      </c>
      <c r="D78" s="73">
        <v>25</v>
      </c>
      <c r="E78" s="101">
        <f t="shared" si="40"/>
        <v>0.68749999999999967</v>
      </c>
      <c r="F78" s="85">
        <f t="shared" si="59"/>
        <v>0.71527777777777746</v>
      </c>
      <c r="G78" s="85">
        <f t="shared" si="42"/>
        <v>0.7243055555555552</v>
      </c>
      <c r="H78" s="71">
        <v>1.3888888888888889E-3</v>
      </c>
      <c r="I78" s="85">
        <f t="shared" si="43"/>
        <v>0.74861111111111078</v>
      </c>
      <c r="J78" s="81"/>
      <c r="K78" s="84">
        <f t="shared" si="44"/>
        <v>0.75208333333333299</v>
      </c>
      <c r="L78" s="84">
        <f t="shared" si="45"/>
        <v>0.78333333333333299</v>
      </c>
      <c r="M78" s="84">
        <f t="shared" si="45"/>
        <v>0.79027777777777741</v>
      </c>
      <c r="N78" s="84">
        <f t="shared" si="46"/>
        <v>0.79027777777777741</v>
      </c>
      <c r="P78" s="85">
        <f t="shared" si="61"/>
        <v>0.76319444444444406</v>
      </c>
      <c r="Q78" s="69">
        <f>P78-E78</f>
        <v>7.5694444444444398E-2</v>
      </c>
      <c r="R78" s="70">
        <f t="shared" ref="R78" si="68">Q78*24</f>
        <v>1.8166666666666655</v>
      </c>
      <c r="U78" s="110">
        <f>I78-F78</f>
        <v>3.3333333333333326E-2</v>
      </c>
      <c r="V78" s="4">
        <f t="shared" si="50"/>
        <v>0.79999999999999982</v>
      </c>
    </row>
    <row r="79" spans="2:22" x14ac:dyDescent="0.25">
      <c r="B79" s="5">
        <f t="shared" si="67"/>
        <v>27</v>
      </c>
      <c r="C79" s="5">
        <f t="shared" si="47"/>
        <v>21</v>
      </c>
      <c r="D79" s="19">
        <v>16</v>
      </c>
      <c r="E79" s="97">
        <f t="shared" ref="E79:E84" si="69">F79-$E$57</f>
        <v>0.68958333333333299</v>
      </c>
      <c r="F79" s="81">
        <f t="shared" si="59"/>
        <v>0.71736111111111078</v>
      </c>
      <c r="G79" s="81">
        <f t="shared" si="42"/>
        <v>0.72638888888888853</v>
      </c>
      <c r="H79" s="37">
        <v>2.0833333333333333E-3</v>
      </c>
      <c r="I79" s="81">
        <f t="shared" si="43"/>
        <v>0.75069444444444411</v>
      </c>
      <c r="J79" s="81"/>
      <c r="K79" s="84">
        <f t="shared" si="44"/>
        <v>0.75416666666666632</v>
      </c>
      <c r="L79" s="84">
        <f t="shared" si="45"/>
        <v>0.78541666666666632</v>
      </c>
      <c r="M79" s="84">
        <f t="shared" si="45"/>
        <v>0.79236111111111074</v>
      </c>
      <c r="N79" s="84">
        <f t="shared" si="46"/>
        <v>0.79236111111111074</v>
      </c>
      <c r="O79" s="3"/>
      <c r="P79" s="81">
        <f t="shared" si="61"/>
        <v>0.76527777777777739</v>
      </c>
      <c r="Q79" s="2">
        <f>P79-E79</f>
        <v>7.5694444444444398E-2</v>
      </c>
      <c r="R79" s="4">
        <f t="shared" ref="R79" si="70">Q79*24</f>
        <v>1.8166666666666655</v>
      </c>
      <c r="U79" s="110">
        <f>I79-F79</f>
        <v>3.3333333333333326E-2</v>
      </c>
      <c r="V79" s="4">
        <f t="shared" si="50"/>
        <v>0.79999999999999982</v>
      </c>
    </row>
    <row r="80" spans="2:22" x14ac:dyDescent="0.25">
      <c r="B80" s="5">
        <f t="shared" si="67"/>
        <v>27</v>
      </c>
      <c r="C80" s="5">
        <f t="shared" si="47"/>
        <v>22</v>
      </c>
      <c r="D80" s="19">
        <v>17</v>
      </c>
      <c r="E80" s="97">
        <f t="shared" si="69"/>
        <v>0.69166666666666632</v>
      </c>
      <c r="F80" s="81">
        <f t="shared" si="59"/>
        <v>0.71944444444444411</v>
      </c>
      <c r="G80" s="81">
        <f t="shared" si="42"/>
        <v>0.72847222222222185</v>
      </c>
      <c r="H80" s="37">
        <v>2.0833333333333333E-3</v>
      </c>
      <c r="I80" s="81">
        <f t="shared" si="43"/>
        <v>0.75277777777777743</v>
      </c>
      <c r="J80" s="81"/>
      <c r="K80" s="86">
        <f t="shared" si="44"/>
        <v>0.75624999999999964</v>
      </c>
      <c r="L80" s="86">
        <f t="shared" ref="L80:M98" si="71">K80+L$57</f>
        <v>0.78749999999999964</v>
      </c>
      <c r="M80" s="86">
        <f t="shared" si="71"/>
        <v>0.79444444444444406</v>
      </c>
      <c r="N80" s="88">
        <v>0.29097222222222224</v>
      </c>
      <c r="O80" s="3">
        <f>O73+1</f>
        <v>10</v>
      </c>
      <c r="P80" s="3"/>
      <c r="Q80" s="2"/>
      <c r="R80" s="4"/>
      <c r="U80" s="110"/>
    </row>
    <row r="81" spans="2:22" x14ac:dyDescent="0.25">
      <c r="B81" s="5">
        <f>B80</f>
        <v>27</v>
      </c>
      <c r="C81" s="5">
        <f t="shared" si="47"/>
        <v>23</v>
      </c>
      <c r="D81" s="73">
        <v>26</v>
      </c>
      <c r="E81" s="101">
        <f t="shared" si="69"/>
        <v>0.69374999999999964</v>
      </c>
      <c r="F81" s="85">
        <f t="shared" si="59"/>
        <v>0.72152777777777743</v>
      </c>
      <c r="G81" s="85">
        <f t="shared" ref="G81" si="72">F81+G$57</f>
        <v>0.73055555555555518</v>
      </c>
      <c r="H81" s="71">
        <v>2.0833333333333333E-3</v>
      </c>
      <c r="I81" s="85">
        <f t="shared" si="43"/>
        <v>0.75486111111111076</v>
      </c>
      <c r="J81" s="81"/>
      <c r="K81" s="84">
        <f t="shared" ref="K81" si="73">I81+K$57</f>
        <v>0.75833333333333297</v>
      </c>
      <c r="L81" s="84">
        <f t="shared" si="71"/>
        <v>0.78958333333333297</v>
      </c>
      <c r="M81" s="84">
        <f t="shared" si="71"/>
        <v>0.79652777777777739</v>
      </c>
      <c r="N81" s="84">
        <f t="shared" ref="N81" si="74">M81</f>
        <v>0.79652777777777739</v>
      </c>
      <c r="P81" s="85">
        <f>I81+$P$57</f>
        <v>0.76944444444444404</v>
      </c>
      <c r="Q81" s="69">
        <f>P81-E81</f>
        <v>7.5694444444444398E-2</v>
      </c>
      <c r="R81" s="70">
        <f t="shared" ref="R81" si="75">Q81*24</f>
        <v>1.8166666666666655</v>
      </c>
      <c r="U81" s="110">
        <f>I81-F81</f>
        <v>3.3333333333333326E-2</v>
      </c>
      <c r="V81" s="4">
        <f t="shared" si="50"/>
        <v>0.79999999999999982</v>
      </c>
    </row>
    <row r="82" spans="2:22" x14ac:dyDescent="0.25">
      <c r="B82" s="5">
        <f t="shared" si="67"/>
        <v>27</v>
      </c>
      <c r="C82" s="5">
        <f t="shared" si="47"/>
        <v>24</v>
      </c>
      <c r="D82" s="19">
        <v>18</v>
      </c>
      <c r="E82" s="97">
        <f t="shared" si="69"/>
        <v>0.69583333333333297</v>
      </c>
      <c r="F82" s="81">
        <f t="shared" si="59"/>
        <v>0.72361111111111076</v>
      </c>
      <c r="G82" s="81">
        <f t="shared" si="42"/>
        <v>0.73263888888888851</v>
      </c>
      <c r="H82" s="37">
        <v>2.0833333333333333E-3</v>
      </c>
      <c r="I82" s="81">
        <f t="shared" si="43"/>
        <v>0.75694444444444409</v>
      </c>
      <c r="J82" s="81"/>
      <c r="K82" s="84">
        <f t="shared" si="44"/>
        <v>0.7604166666666663</v>
      </c>
      <c r="L82" s="84">
        <f t="shared" si="71"/>
        <v>0.7916666666666663</v>
      </c>
      <c r="M82" s="84">
        <f t="shared" si="71"/>
        <v>0.79861111111111072</v>
      </c>
      <c r="N82" s="84">
        <f t="shared" si="46"/>
        <v>0.79861111111111072</v>
      </c>
      <c r="P82" s="81">
        <f>I82+$P$57</f>
        <v>0.77152777777777737</v>
      </c>
      <c r="Q82" s="2">
        <f>P82-E82</f>
        <v>7.5694444444444398E-2</v>
      </c>
      <c r="R82" s="4">
        <f t="shared" si="51"/>
        <v>1.8166666666666655</v>
      </c>
      <c r="U82" s="110">
        <f>I82-F82</f>
        <v>3.3333333333333326E-2</v>
      </c>
      <c r="V82" s="4">
        <f t="shared" si="50"/>
        <v>0.79999999999999982</v>
      </c>
    </row>
    <row r="83" spans="2:22" x14ac:dyDescent="0.25">
      <c r="B83" s="5">
        <f t="shared" si="67"/>
        <v>27</v>
      </c>
      <c r="C83" s="5">
        <f t="shared" si="47"/>
        <v>25</v>
      </c>
      <c r="D83" s="19">
        <v>2</v>
      </c>
      <c r="E83" s="19"/>
      <c r="F83" s="81">
        <f t="shared" si="59"/>
        <v>0.72569444444444409</v>
      </c>
      <c r="G83" s="81">
        <f t="shared" si="42"/>
        <v>0.73472222222222183</v>
      </c>
      <c r="H83" s="37">
        <v>2.0833333333333333E-3</v>
      </c>
      <c r="I83" s="81">
        <f t="shared" si="43"/>
        <v>0.75902777777777741</v>
      </c>
      <c r="J83" s="81"/>
      <c r="K83" s="84">
        <f t="shared" si="44"/>
        <v>0.76249999999999962</v>
      </c>
      <c r="L83" s="84">
        <f t="shared" si="71"/>
        <v>0.79374999999999962</v>
      </c>
      <c r="M83" s="84">
        <f t="shared" si="71"/>
        <v>0.80069444444444404</v>
      </c>
      <c r="N83" s="84">
        <f t="shared" si="46"/>
        <v>0.80069444444444404</v>
      </c>
      <c r="P83" s="81">
        <f>I83+$P$57</f>
        <v>0.77361111111111069</v>
      </c>
      <c r="Q83" s="2">
        <f>P83-E60</f>
        <v>0.15555555555555522</v>
      </c>
      <c r="R83" s="4">
        <f t="shared" ref="R83:R84" si="76">Q83*24</f>
        <v>3.7333333333333254</v>
      </c>
      <c r="U83" s="110">
        <f>I83-F60</f>
        <v>0.11319444444444415</v>
      </c>
      <c r="V83" s="4">
        <f t="shared" si="50"/>
        <v>2.7166666666666597</v>
      </c>
    </row>
    <row r="84" spans="2:22" x14ac:dyDescent="0.25">
      <c r="B84" s="5">
        <f t="shared" si="67"/>
        <v>27</v>
      </c>
      <c r="C84" s="5">
        <f t="shared" si="47"/>
        <v>26</v>
      </c>
      <c r="D84" s="73">
        <v>27</v>
      </c>
      <c r="E84" s="101">
        <f t="shared" si="69"/>
        <v>0.69999999999999962</v>
      </c>
      <c r="F84" s="85">
        <f t="shared" si="59"/>
        <v>0.72777777777777741</v>
      </c>
      <c r="G84" s="85">
        <f t="shared" si="42"/>
        <v>0.73680555555555516</v>
      </c>
      <c r="H84" s="71">
        <v>2.0833333333333333E-3</v>
      </c>
      <c r="I84" s="85">
        <f t="shared" si="43"/>
        <v>0.76111111111111074</v>
      </c>
      <c r="J84" s="81"/>
      <c r="K84" s="84">
        <f t="shared" si="44"/>
        <v>0.76458333333333295</v>
      </c>
      <c r="L84" s="84">
        <f t="shared" ref="L84" si="77">K84+L$57</f>
        <v>0.79583333333333295</v>
      </c>
      <c r="M84" s="84">
        <f t="shared" ref="M84" si="78">L84+M$57</f>
        <v>0.80277777777777737</v>
      </c>
      <c r="N84" s="84">
        <f t="shared" si="46"/>
        <v>0.80277777777777737</v>
      </c>
      <c r="P84" s="85">
        <f>I84+$P$57</f>
        <v>0.77569444444444402</v>
      </c>
      <c r="Q84" s="69">
        <f>P84-E84</f>
        <v>7.5694444444444398E-2</v>
      </c>
      <c r="R84" s="70">
        <f t="shared" si="76"/>
        <v>1.8166666666666655</v>
      </c>
      <c r="U84" s="110">
        <f>I84-F84</f>
        <v>3.3333333333333326E-2</v>
      </c>
      <c r="V84" s="4">
        <f t="shared" si="50"/>
        <v>0.79999999999999982</v>
      </c>
    </row>
    <row r="85" spans="2:22" x14ac:dyDescent="0.25">
      <c r="B85" s="5">
        <f t="shared" si="67"/>
        <v>27</v>
      </c>
      <c r="C85" s="5">
        <f t="shared" si="47"/>
        <v>27</v>
      </c>
      <c r="D85" s="19">
        <v>19</v>
      </c>
      <c r="E85" s="97">
        <f t="shared" ref="E85:E87" si="79">F85-$E$57</f>
        <v>0.70208333333333295</v>
      </c>
      <c r="F85" s="81">
        <f t="shared" si="59"/>
        <v>0.72986111111111074</v>
      </c>
      <c r="G85" s="81">
        <f t="shared" si="42"/>
        <v>0.73888888888888848</v>
      </c>
      <c r="H85" s="37">
        <v>2.0833333333333333E-3</v>
      </c>
      <c r="I85" s="81">
        <f t="shared" si="43"/>
        <v>0.76319444444444406</v>
      </c>
      <c r="J85" s="81"/>
      <c r="K85" s="86">
        <f t="shared" si="44"/>
        <v>0.76666666666666627</v>
      </c>
      <c r="L85" s="86">
        <f t="shared" si="71"/>
        <v>0.79791666666666627</v>
      </c>
      <c r="M85" s="86">
        <f t="shared" si="71"/>
        <v>0.80486111111111069</v>
      </c>
      <c r="N85" s="88">
        <v>0.30138888888888887</v>
      </c>
      <c r="O85" s="3">
        <f>O80+1</f>
        <v>11</v>
      </c>
      <c r="P85" s="3"/>
      <c r="Q85" s="2"/>
      <c r="R85" s="4"/>
      <c r="U85" s="110"/>
    </row>
    <row r="86" spans="2:22" x14ac:dyDescent="0.25">
      <c r="B86" s="5">
        <f t="shared" ref="B86:B89" si="80">ROUND(48*0.75*14/21,0)</f>
        <v>24</v>
      </c>
      <c r="C86" s="5">
        <f t="shared" si="47"/>
        <v>28</v>
      </c>
      <c r="D86" s="19">
        <v>20</v>
      </c>
      <c r="E86" s="97">
        <f t="shared" si="79"/>
        <v>0.70416666666666627</v>
      </c>
      <c r="F86" s="81">
        <f t="shared" si="59"/>
        <v>0.73194444444444406</v>
      </c>
      <c r="G86" s="81">
        <f t="shared" si="42"/>
        <v>0.74097222222222181</v>
      </c>
      <c r="H86" s="37">
        <v>2.0833333333333333E-3</v>
      </c>
      <c r="I86" s="81">
        <f t="shared" si="43"/>
        <v>0.76527777777777739</v>
      </c>
      <c r="J86" s="81"/>
      <c r="K86" s="84">
        <f t="shared" si="44"/>
        <v>0.7687499999999996</v>
      </c>
      <c r="L86" s="84">
        <f t="shared" si="71"/>
        <v>0.7999999999999996</v>
      </c>
      <c r="M86" s="84">
        <f t="shared" si="71"/>
        <v>0.80694444444444402</v>
      </c>
      <c r="N86" s="84">
        <f t="shared" si="46"/>
        <v>0.80694444444444402</v>
      </c>
      <c r="O86" s="3"/>
      <c r="P86" s="81">
        <f>I86+$P$57</f>
        <v>0.77986111111111067</v>
      </c>
      <c r="Q86" s="2">
        <f>P86-E86</f>
        <v>7.5694444444444398E-2</v>
      </c>
      <c r="R86" s="4">
        <f t="shared" ref="R86:R87" si="81">Q86*24</f>
        <v>1.8166666666666655</v>
      </c>
      <c r="U86" s="110">
        <f>I86-F86</f>
        <v>3.3333333333333326E-2</v>
      </c>
      <c r="V86" s="4">
        <f t="shared" si="50"/>
        <v>0.79999999999999982</v>
      </c>
    </row>
    <row r="87" spans="2:22" x14ac:dyDescent="0.25">
      <c r="B87" s="5">
        <f>B86</f>
        <v>24</v>
      </c>
      <c r="C87" s="5">
        <f t="shared" si="47"/>
        <v>29</v>
      </c>
      <c r="D87" s="73">
        <v>28</v>
      </c>
      <c r="E87" s="101">
        <f t="shared" si="79"/>
        <v>0.7062499999999996</v>
      </c>
      <c r="F87" s="85">
        <f t="shared" si="59"/>
        <v>0.73402777777777739</v>
      </c>
      <c r="G87" s="85">
        <f t="shared" ref="G87" si="82">F87+G$57</f>
        <v>0.74305555555555514</v>
      </c>
      <c r="H87" s="71">
        <v>2.0833333333333333E-3</v>
      </c>
      <c r="I87" s="85">
        <f t="shared" si="43"/>
        <v>0.76736111111111072</v>
      </c>
      <c r="J87" s="81"/>
      <c r="K87" s="84">
        <f t="shared" ref="K87" si="83">I87+K$57</f>
        <v>0.77083333333333293</v>
      </c>
      <c r="L87" s="84">
        <f t="shared" si="71"/>
        <v>0.80208333333333293</v>
      </c>
      <c r="M87" s="84">
        <f t="shared" si="71"/>
        <v>0.80902777777777735</v>
      </c>
      <c r="N87" s="84">
        <f t="shared" ref="N87" si="84">M87</f>
        <v>0.80902777777777735</v>
      </c>
      <c r="P87" s="85">
        <f>I87+$P$57</f>
        <v>0.781944444444444</v>
      </c>
      <c r="Q87" s="69">
        <f>P87-E87</f>
        <v>7.5694444444444398E-2</v>
      </c>
      <c r="R87" s="70">
        <f t="shared" si="81"/>
        <v>1.8166666666666655</v>
      </c>
      <c r="U87" s="110">
        <f>I87-F87</f>
        <v>3.3333333333333326E-2</v>
      </c>
      <c r="V87" s="4">
        <f t="shared" si="50"/>
        <v>0.79999999999999982</v>
      </c>
    </row>
    <row r="88" spans="2:22" x14ac:dyDescent="0.25">
      <c r="B88" s="5">
        <f t="shared" si="80"/>
        <v>24</v>
      </c>
      <c r="C88" s="5">
        <f t="shared" si="47"/>
        <v>30</v>
      </c>
      <c r="D88" s="19">
        <v>3</v>
      </c>
      <c r="E88" s="19"/>
      <c r="F88" s="81">
        <f>F86+H88</f>
        <v>0.73611111111111072</v>
      </c>
      <c r="G88" s="81">
        <f t="shared" si="42"/>
        <v>0.74513888888888846</v>
      </c>
      <c r="H88" s="37">
        <v>4.1666666666666666E-3</v>
      </c>
      <c r="I88" s="81">
        <f t="shared" si="43"/>
        <v>0.76944444444444404</v>
      </c>
      <c r="J88" s="81"/>
      <c r="K88" s="86">
        <f t="shared" si="44"/>
        <v>0.77291666666666625</v>
      </c>
      <c r="L88" s="86">
        <f t="shared" si="71"/>
        <v>0.80416666666666625</v>
      </c>
      <c r="M88" s="86">
        <f t="shared" si="71"/>
        <v>0.81111111111111067</v>
      </c>
      <c r="N88" s="86">
        <f t="shared" si="46"/>
        <v>0.81111111111111067</v>
      </c>
      <c r="O88" s="3">
        <f>O85+1</f>
        <v>12</v>
      </c>
      <c r="P88" s="3"/>
      <c r="Q88" s="2"/>
      <c r="R88" s="4"/>
      <c r="U88" s="110"/>
    </row>
    <row r="89" spans="2:22" x14ac:dyDescent="0.25">
      <c r="B89" s="5">
        <f t="shared" si="80"/>
        <v>24</v>
      </c>
      <c r="C89" s="5">
        <f t="shared" si="47"/>
        <v>31</v>
      </c>
      <c r="D89" s="19">
        <v>4</v>
      </c>
      <c r="E89" s="19"/>
      <c r="F89" s="81">
        <f t="shared" si="41"/>
        <v>0.74305555555555514</v>
      </c>
      <c r="G89" s="81">
        <f t="shared" si="42"/>
        <v>0.75208333333333288</v>
      </c>
      <c r="H89" s="37">
        <v>6.9444444444444441E-3</v>
      </c>
      <c r="I89" s="81">
        <f t="shared" si="43"/>
        <v>0.77638888888888846</v>
      </c>
      <c r="J89" s="81"/>
      <c r="K89" s="81">
        <f t="shared" si="44"/>
        <v>0.77986111111111067</v>
      </c>
      <c r="L89" s="81">
        <f t="shared" si="71"/>
        <v>0.81111111111111067</v>
      </c>
      <c r="M89" s="81">
        <f t="shared" si="71"/>
        <v>0.81805555555555509</v>
      </c>
      <c r="N89" s="82">
        <f t="shared" si="46"/>
        <v>0.81805555555555509</v>
      </c>
      <c r="O89" s="3">
        <f>O88+1</f>
        <v>13</v>
      </c>
      <c r="P89" s="3"/>
      <c r="Q89" s="2"/>
      <c r="R89" s="4"/>
      <c r="U89" s="110"/>
    </row>
    <row r="90" spans="2:22" x14ac:dyDescent="0.25">
      <c r="B90" s="5">
        <f>ROUND(48*0.5*14/21,0)</f>
        <v>16</v>
      </c>
      <c r="C90" s="5">
        <f t="shared" si="47"/>
        <v>32</v>
      </c>
      <c r="D90" s="19">
        <v>5</v>
      </c>
      <c r="E90" s="19"/>
      <c r="F90" s="81">
        <f t="shared" si="41"/>
        <v>0.74999999999999956</v>
      </c>
      <c r="G90" s="81">
        <f t="shared" si="42"/>
        <v>0.7590277777777773</v>
      </c>
      <c r="H90" s="37">
        <v>6.9444444444444441E-3</v>
      </c>
      <c r="I90" s="81">
        <f t="shared" si="43"/>
        <v>0.78333333333333288</v>
      </c>
      <c r="J90" s="81"/>
      <c r="K90" s="84">
        <f t="shared" si="44"/>
        <v>0.78680555555555509</v>
      </c>
      <c r="L90" s="84">
        <f t="shared" si="71"/>
        <v>0.81805555555555509</v>
      </c>
      <c r="M90" s="84">
        <f t="shared" si="71"/>
        <v>0.82499999999999951</v>
      </c>
      <c r="N90" s="84">
        <f t="shared" si="46"/>
        <v>0.82499999999999951</v>
      </c>
      <c r="O90" s="3"/>
      <c r="P90" s="81">
        <f>I90+$P$57</f>
        <v>0.79791666666666616</v>
      </c>
      <c r="Q90" s="2">
        <f>P90-E63</f>
        <v>0.15208333333333302</v>
      </c>
      <c r="R90" s="4">
        <f t="shared" ref="R90" si="85">Q90*24</f>
        <v>3.6499999999999924</v>
      </c>
      <c r="U90" s="110">
        <f>I90-F63</f>
        <v>0.10972222222222194</v>
      </c>
      <c r="V90" s="4">
        <f t="shared" ref="V90:V99" si="86">U90*24</f>
        <v>2.6333333333333266</v>
      </c>
    </row>
    <row r="91" spans="2:22" x14ac:dyDescent="0.25">
      <c r="B91" s="5">
        <f>ROUND(48*0.5*14/21,0)</f>
        <v>16</v>
      </c>
      <c r="C91" s="5">
        <f t="shared" si="47"/>
        <v>33</v>
      </c>
      <c r="D91" s="19">
        <v>6</v>
      </c>
      <c r="E91" s="19"/>
      <c r="F91" s="81">
        <f t="shared" si="41"/>
        <v>0.75694444444444398</v>
      </c>
      <c r="G91" s="81">
        <f t="shared" si="42"/>
        <v>0.76597222222222172</v>
      </c>
      <c r="H91" s="37">
        <v>6.9444444444444441E-3</v>
      </c>
      <c r="I91" s="81">
        <f t="shared" si="43"/>
        <v>0.7902777777777773</v>
      </c>
      <c r="J91" s="81"/>
      <c r="K91" s="86">
        <f t="shared" si="44"/>
        <v>0.79374999999999951</v>
      </c>
      <c r="L91" s="86">
        <f t="shared" si="71"/>
        <v>0.82499999999999951</v>
      </c>
      <c r="M91" s="86">
        <f t="shared" si="71"/>
        <v>0.83194444444444393</v>
      </c>
      <c r="N91" s="86">
        <f t="shared" si="46"/>
        <v>0.83194444444444393</v>
      </c>
      <c r="O91" s="3">
        <f>O89+1</f>
        <v>14</v>
      </c>
      <c r="P91" s="3"/>
      <c r="Q91" s="2"/>
      <c r="R91" s="4"/>
      <c r="U91" s="110"/>
    </row>
    <row r="92" spans="2:22" x14ac:dyDescent="0.25">
      <c r="B92" s="5">
        <f t="shared" ref="B92:B93" si="87">ROUND(48*0.5*14/21,0)</f>
        <v>16</v>
      </c>
      <c r="C92" s="5">
        <f t="shared" si="47"/>
        <v>34</v>
      </c>
      <c r="D92" s="19">
        <v>7</v>
      </c>
      <c r="E92" s="19"/>
      <c r="F92" s="81">
        <f t="shared" si="41"/>
        <v>0.7638888888888884</v>
      </c>
      <c r="G92" s="81">
        <f t="shared" si="42"/>
        <v>0.77291666666666614</v>
      </c>
      <c r="H92" s="37">
        <v>6.9444444444444441E-3</v>
      </c>
      <c r="I92" s="81">
        <f t="shared" si="43"/>
        <v>0.79722222222222172</v>
      </c>
      <c r="J92" s="81"/>
      <c r="K92" s="84">
        <f t="shared" si="44"/>
        <v>0.80069444444444393</v>
      </c>
      <c r="L92" s="84">
        <f t="shared" si="71"/>
        <v>0.83194444444444393</v>
      </c>
      <c r="M92" s="84">
        <f t="shared" si="71"/>
        <v>0.83888888888888835</v>
      </c>
      <c r="N92" s="84">
        <f t="shared" si="46"/>
        <v>0.83888888888888835</v>
      </c>
      <c r="O92" s="3"/>
      <c r="P92" s="81">
        <f t="shared" ref="P92:P94" si="88">I92+$P$57</f>
        <v>0.811805555555555</v>
      </c>
      <c r="Q92" s="2">
        <f>P92-E65</f>
        <v>0.15208333333333302</v>
      </c>
      <c r="R92" s="4">
        <f t="shared" ref="R92:R94" si="89">Q92*24</f>
        <v>3.6499999999999924</v>
      </c>
      <c r="U92" s="110">
        <f>I92-F65</f>
        <v>0.10972222222222194</v>
      </c>
      <c r="V92" s="4">
        <f t="shared" si="86"/>
        <v>2.6333333333333266</v>
      </c>
    </row>
    <row r="93" spans="2:22" x14ac:dyDescent="0.25">
      <c r="B93" s="5">
        <f t="shared" si="87"/>
        <v>16</v>
      </c>
      <c r="C93" s="5">
        <f t="shared" si="47"/>
        <v>35</v>
      </c>
      <c r="D93" s="19">
        <v>9</v>
      </c>
      <c r="E93" s="19"/>
      <c r="F93" s="81">
        <f t="shared" si="41"/>
        <v>0.77083333333333282</v>
      </c>
      <c r="G93" s="81">
        <f t="shared" si="42"/>
        <v>0.77986111111111056</v>
      </c>
      <c r="H93" s="37">
        <v>6.9444444444444441E-3</v>
      </c>
      <c r="I93" s="81">
        <f t="shared" si="43"/>
        <v>0.80416666666666614</v>
      </c>
      <c r="J93" s="81"/>
      <c r="K93" s="84">
        <f t="shared" si="44"/>
        <v>0.80763888888888835</v>
      </c>
      <c r="L93" s="84">
        <f t="shared" si="71"/>
        <v>0.83888888888888835</v>
      </c>
      <c r="M93" s="84">
        <f t="shared" si="71"/>
        <v>0.84583333333333277</v>
      </c>
      <c r="N93" s="84">
        <f t="shared" si="46"/>
        <v>0.84583333333333277</v>
      </c>
      <c r="P93" s="81">
        <f t="shared" si="88"/>
        <v>0.81874999999999942</v>
      </c>
      <c r="Q93" s="2">
        <f>P93-E67</f>
        <v>0.15208333333333302</v>
      </c>
      <c r="R93" s="4">
        <f t="shared" si="89"/>
        <v>3.6499999999999924</v>
      </c>
      <c r="U93" s="110">
        <f>I93-F67</f>
        <v>0.10972222222222194</v>
      </c>
      <c r="V93" s="4">
        <f t="shared" si="86"/>
        <v>2.6333333333333266</v>
      </c>
    </row>
    <row r="94" spans="2:22" x14ac:dyDescent="0.25">
      <c r="B94" s="5">
        <f t="shared" ref="B94:B98" si="90">ROUND(48*0.25,0)</f>
        <v>12</v>
      </c>
      <c r="C94" s="5">
        <f t="shared" si="47"/>
        <v>36</v>
      </c>
      <c r="D94" s="19">
        <v>13</v>
      </c>
      <c r="E94" s="19"/>
      <c r="F94" s="81">
        <f t="shared" si="41"/>
        <v>0.78124999999999944</v>
      </c>
      <c r="G94" s="81">
        <f t="shared" si="42"/>
        <v>0.79027777777777719</v>
      </c>
      <c r="H94" s="37">
        <v>1.0416666666666666E-2</v>
      </c>
      <c r="I94" s="81">
        <f t="shared" si="43"/>
        <v>0.81458333333333277</v>
      </c>
      <c r="J94" s="81"/>
      <c r="K94" s="84">
        <f t="shared" si="44"/>
        <v>0.81805555555555498</v>
      </c>
      <c r="L94" s="84">
        <f t="shared" si="71"/>
        <v>0.84930555555555498</v>
      </c>
      <c r="M94" s="84">
        <f t="shared" si="71"/>
        <v>0.8562499999999994</v>
      </c>
      <c r="N94" s="84">
        <f t="shared" si="46"/>
        <v>0.8562499999999994</v>
      </c>
      <c r="P94" s="81">
        <f t="shared" si="88"/>
        <v>0.82916666666666605</v>
      </c>
      <c r="Q94" s="2">
        <f>P94-E73</f>
        <v>0.15069444444444413</v>
      </c>
      <c r="R94" s="4">
        <f t="shared" si="89"/>
        <v>3.6166666666666591</v>
      </c>
      <c r="U94" s="110">
        <f>I94-F73</f>
        <v>0.10833333333333306</v>
      </c>
      <c r="V94" s="4">
        <f t="shared" si="86"/>
        <v>2.5999999999999934</v>
      </c>
    </row>
    <row r="95" spans="2:22" x14ac:dyDescent="0.25">
      <c r="B95" s="5">
        <f t="shared" si="90"/>
        <v>12</v>
      </c>
      <c r="C95" s="5">
        <f t="shared" si="47"/>
        <v>37</v>
      </c>
      <c r="D95" s="19">
        <v>17</v>
      </c>
      <c r="E95" s="19"/>
      <c r="F95" s="81">
        <f>F94+H95</f>
        <v>0.79166666666666607</v>
      </c>
      <c r="G95" s="81">
        <f t="shared" si="42"/>
        <v>0.80069444444444382</v>
      </c>
      <c r="H95" s="37">
        <v>1.0416666666666666E-2</v>
      </c>
      <c r="I95" s="81">
        <f t="shared" si="43"/>
        <v>0.8249999999999994</v>
      </c>
      <c r="J95" s="81"/>
      <c r="K95" s="84">
        <f t="shared" ref="K95" si="91">I95+K$57</f>
        <v>0.82847222222222161</v>
      </c>
      <c r="L95" s="84">
        <f t="shared" ref="L95" si="92">K95+L$57</f>
        <v>0.85972222222222161</v>
      </c>
      <c r="M95" s="84">
        <f t="shared" ref="M95" si="93">L95+M$57</f>
        <v>0.86666666666666603</v>
      </c>
      <c r="N95" s="84">
        <f t="shared" ref="N95" si="94">M95</f>
        <v>0.86666666666666603</v>
      </c>
      <c r="O95" s="3"/>
      <c r="P95" s="3"/>
      <c r="Q95" s="2"/>
      <c r="R95" s="4"/>
      <c r="U95" s="110"/>
    </row>
    <row r="96" spans="2:22" x14ac:dyDescent="0.25">
      <c r="B96" s="5">
        <f t="shared" si="90"/>
        <v>12</v>
      </c>
      <c r="C96" s="5">
        <f t="shared" si="47"/>
        <v>38</v>
      </c>
      <c r="D96" s="19">
        <v>19</v>
      </c>
      <c r="E96" s="19"/>
      <c r="F96" s="81">
        <f t="shared" si="41"/>
        <v>0.81249999999999944</v>
      </c>
      <c r="G96" s="81">
        <f t="shared" si="42"/>
        <v>0.82152777777777719</v>
      </c>
      <c r="H96" s="37">
        <v>2.0833333333333332E-2</v>
      </c>
      <c r="I96" s="81">
        <f t="shared" si="43"/>
        <v>0.84583333333333277</v>
      </c>
      <c r="J96" s="81"/>
      <c r="K96" s="86">
        <f t="shared" si="44"/>
        <v>0.84930555555555498</v>
      </c>
      <c r="L96" s="86">
        <f t="shared" si="71"/>
        <v>0.88055555555555498</v>
      </c>
      <c r="M96" s="84">
        <f t="shared" si="71"/>
        <v>0.8874999999999994</v>
      </c>
      <c r="N96" s="84">
        <f>M96</f>
        <v>0.8874999999999994</v>
      </c>
      <c r="O96" s="3">
        <v>16</v>
      </c>
      <c r="P96" s="98">
        <f>L96+E57</f>
        <v>0.90833333333333277</v>
      </c>
      <c r="Q96" s="2">
        <f>P96-E85</f>
        <v>0.20624999999999982</v>
      </c>
      <c r="R96" s="4">
        <f t="shared" ref="R96:R99" si="95">Q96*24</f>
        <v>4.9499999999999957</v>
      </c>
      <c r="U96" s="110">
        <f>L96-F85</f>
        <v>0.15069444444444424</v>
      </c>
      <c r="V96" s="4">
        <f t="shared" si="86"/>
        <v>3.6166666666666618</v>
      </c>
    </row>
    <row r="97" spans="1:23" x14ac:dyDescent="0.25">
      <c r="B97" s="5">
        <f t="shared" si="90"/>
        <v>12</v>
      </c>
      <c r="C97" s="5">
        <f t="shared" si="47"/>
        <v>39</v>
      </c>
      <c r="D97" s="19">
        <v>3</v>
      </c>
      <c r="E97" s="19"/>
      <c r="F97" s="81">
        <f t="shared" si="41"/>
        <v>0.83333333333333282</v>
      </c>
      <c r="G97" s="81">
        <f t="shared" si="42"/>
        <v>0.84236111111111056</v>
      </c>
      <c r="H97" s="37">
        <v>2.0833333333333332E-2</v>
      </c>
      <c r="I97" s="81">
        <f t="shared" si="43"/>
        <v>0.86666666666666614</v>
      </c>
      <c r="J97" s="81"/>
      <c r="K97" s="84">
        <f t="shared" si="44"/>
        <v>0.87013888888888835</v>
      </c>
      <c r="L97" s="84">
        <f t="shared" si="71"/>
        <v>0.90138888888888835</v>
      </c>
      <c r="M97" s="84">
        <f t="shared" si="71"/>
        <v>0.90833333333333277</v>
      </c>
      <c r="N97" s="84">
        <f t="shared" si="46"/>
        <v>0.90833333333333277</v>
      </c>
      <c r="P97" s="81">
        <f>I97+$P$57</f>
        <v>0.88124999999999942</v>
      </c>
      <c r="Q97" s="2">
        <f>P97-E61</f>
        <v>0.25277777777777732</v>
      </c>
      <c r="R97" s="4">
        <f t="shared" si="95"/>
        <v>6.0666666666666558</v>
      </c>
      <c r="U97" s="110">
        <f>I97-F61</f>
        <v>0.21041666666666625</v>
      </c>
      <c r="V97" s="4">
        <f t="shared" si="86"/>
        <v>5.0499999999999901</v>
      </c>
    </row>
    <row r="98" spans="1:23" x14ac:dyDescent="0.25">
      <c r="B98" s="5">
        <f t="shared" si="90"/>
        <v>12</v>
      </c>
      <c r="C98" s="5">
        <f t="shared" si="47"/>
        <v>40</v>
      </c>
      <c r="D98" s="19">
        <v>4</v>
      </c>
      <c r="E98" s="19"/>
      <c r="F98" s="81">
        <f t="shared" si="41"/>
        <v>0.85416666666666619</v>
      </c>
      <c r="G98" s="81">
        <f t="shared" si="42"/>
        <v>0.86319444444444393</v>
      </c>
      <c r="H98" s="37">
        <v>2.0833333333333332E-2</v>
      </c>
      <c r="I98" s="81">
        <f t="shared" si="43"/>
        <v>0.88749999999999951</v>
      </c>
      <c r="J98" s="81"/>
      <c r="K98" s="84">
        <f t="shared" si="44"/>
        <v>0.89097222222222172</v>
      </c>
      <c r="L98" s="84">
        <f t="shared" si="71"/>
        <v>0.92222222222222172</v>
      </c>
      <c r="M98" s="84">
        <f t="shared" si="71"/>
        <v>0.92916666666666614</v>
      </c>
      <c r="N98" s="84">
        <f t="shared" si="46"/>
        <v>0.92916666666666614</v>
      </c>
      <c r="P98" s="81">
        <f>I98+$P$57</f>
        <v>0.90208333333333279</v>
      </c>
      <c r="Q98" s="2">
        <f>P98-E62</f>
        <v>0.26319444444444406</v>
      </c>
      <c r="R98" s="4">
        <f t="shared" si="95"/>
        <v>6.3166666666666575</v>
      </c>
      <c r="U98" s="110">
        <f>I98-F62</f>
        <v>0.22083333333333299</v>
      </c>
      <c r="V98" s="4">
        <f t="shared" si="86"/>
        <v>5.2999999999999918</v>
      </c>
    </row>
    <row r="99" spans="1:23" x14ac:dyDescent="0.25">
      <c r="B99" s="5">
        <v>6</v>
      </c>
      <c r="C99" s="5">
        <f t="shared" si="47"/>
        <v>41</v>
      </c>
      <c r="D99" s="19">
        <v>6</v>
      </c>
      <c r="E99" s="19"/>
      <c r="F99" s="81">
        <f t="shared" si="41"/>
        <v>0.87499999999999956</v>
      </c>
      <c r="G99" s="81">
        <f t="shared" si="42"/>
        <v>0.8840277777777773</v>
      </c>
      <c r="H99" s="37">
        <v>2.0833333333333332E-2</v>
      </c>
      <c r="I99" s="81">
        <f t="shared" si="43"/>
        <v>0.90833333333333288</v>
      </c>
      <c r="J99" s="81"/>
      <c r="K99" s="84">
        <f t="shared" si="44"/>
        <v>0.91180555555555509</v>
      </c>
      <c r="L99" s="84">
        <f t="shared" ref="L99:M99" si="96">K99+L$57</f>
        <v>0.94305555555555509</v>
      </c>
      <c r="M99" s="84">
        <f t="shared" si="96"/>
        <v>0.94999999999999951</v>
      </c>
      <c r="N99" s="84">
        <f t="shared" si="46"/>
        <v>0.94999999999999951</v>
      </c>
      <c r="P99" s="81">
        <f>I99+$P$57</f>
        <v>0.92291666666666616</v>
      </c>
      <c r="Q99" s="2">
        <f>P99-E64</f>
        <v>0.2701388888888886</v>
      </c>
      <c r="R99" s="4">
        <f t="shared" si="95"/>
        <v>6.4833333333333263</v>
      </c>
      <c r="U99" s="110">
        <f>I99-F64</f>
        <v>0.22777777777777752</v>
      </c>
      <c r="V99" s="4">
        <f t="shared" si="86"/>
        <v>5.4666666666666606</v>
      </c>
    </row>
    <row r="100" spans="1:23" x14ac:dyDescent="0.25">
      <c r="B100" s="5"/>
      <c r="C100" s="5"/>
      <c r="D100" s="19"/>
      <c r="E100" s="19"/>
      <c r="F100" s="81"/>
      <c r="G100" s="81"/>
      <c r="H100" s="37"/>
      <c r="I100" s="81"/>
      <c r="J100" s="81"/>
      <c r="K100" s="84"/>
      <c r="L100" s="84"/>
      <c r="M100" s="84"/>
      <c r="N100" s="84"/>
      <c r="P100" s="81"/>
      <c r="Q100" s="2"/>
      <c r="R100" s="4"/>
      <c r="U100" s="110"/>
      <c r="V100" s="4"/>
    </row>
    <row r="101" spans="1:23" x14ac:dyDescent="0.25">
      <c r="A101" s="7" t="s">
        <v>24</v>
      </c>
      <c r="B101" s="8" t="s">
        <v>25</v>
      </c>
      <c r="C101" s="7"/>
      <c r="D101" s="9" t="s">
        <v>15</v>
      </c>
      <c r="E101" s="9"/>
      <c r="F101" s="9" t="s">
        <v>18</v>
      </c>
      <c r="G101" s="7" t="s">
        <v>17</v>
      </c>
      <c r="H101" s="7"/>
      <c r="I101" s="7"/>
      <c r="J101" s="7"/>
      <c r="K101" s="9" t="s">
        <v>16</v>
      </c>
      <c r="L101" s="7"/>
      <c r="M101" s="7"/>
      <c r="N101" s="7"/>
      <c r="O101" s="7"/>
      <c r="P101" s="7"/>
      <c r="Q101" s="7"/>
      <c r="R101" s="9" t="s">
        <v>90</v>
      </c>
      <c r="U101" s="110"/>
    </row>
    <row r="102" spans="1:23" x14ac:dyDescent="0.25">
      <c r="A102" s="10" t="s">
        <v>58</v>
      </c>
      <c r="B102" s="10">
        <f>SUM(B59:B100)</f>
        <v>810</v>
      </c>
      <c r="C102" s="10"/>
      <c r="D102" s="11">
        <f>MAX(D59:D100)-1</f>
        <v>27</v>
      </c>
      <c r="E102" s="11"/>
      <c r="F102" s="11">
        <f>COUNT(C59:C100)</f>
        <v>41</v>
      </c>
      <c r="G102" s="12">
        <f>B102/F102</f>
        <v>19.756097560975611</v>
      </c>
      <c r="H102" s="112">
        <f>G102/32</f>
        <v>0.61737804878048785</v>
      </c>
      <c r="I102" s="10"/>
      <c r="J102" s="10"/>
      <c r="K102" s="11">
        <f>COUNT(O59:O100)</f>
        <v>15</v>
      </c>
      <c r="M102" s="10"/>
      <c r="N102" s="10"/>
      <c r="O102" s="10"/>
      <c r="P102" s="10"/>
      <c r="Q102" s="10"/>
      <c r="R102" s="137">
        <f>SUM(R59:R100)</f>
        <v>74.883333333333226</v>
      </c>
      <c r="S102" s="24">
        <v>50.083333333333321</v>
      </c>
      <c r="T102" s="100"/>
      <c r="U102" s="13"/>
      <c r="V102" s="13">
        <f>SUM(V62:V100)</f>
        <v>48.133333333333262</v>
      </c>
      <c r="W102">
        <f>R102/V102</f>
        <v>1.5557479224376731</v>
      </c>
    </row>
    <row r="103" spans="1:23" x14ac:dyDescent="0.25">
      <c r="A103" s="14" t="s">
        <v>59</v>
      </c>
      <c r="B103" s="15">
        <f>B102*E103</f>
        <v>3240</v>
      </c>
      <c r="C103" s="14"/>
      <c r="D103" s="16" t="s">
        <v>110</v>
      </c>
      <c r="E103" s="136">
        <v>4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6" t="s">
        <v>89</v>
      </c>
      <c r="Q103" s="138">
        <v>60.24</v>
      </c>
      <c r="R103" s="15">
        <f>R102*Q103</f>
        <v>4510.9719999999934</v>
      </c>
      <c r="S103" s="17">
        <v>3017.0199999999995</v>
      </c>
      <c r="T103" s="100"/>
      <c r="U103" s="110"/>
    </row>
    <row r="104" spans="1:23" x14ac:dyDescent="0.25">
      <c r="A104" s="63"/>
      <c r="B104" s="64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5"/>
      <c r="R104" s="64"/>
      <c r="U104" s="110"/>
    </row>
    <row r="105" spans="1:23" x14ac:dyDescent="0.25">
      <c r="A105" s="7" t="s">
        <v>60</v>
      </c>
      <c r="B105" s="7" t="s">
        <v>73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8"/>
      <c r="R105" s="67"/>
      <c r="U105" s="110"/>
    </row>
    <row r="106" spans="1:23" x14ac:dyDescent="0.25">
      <c r="A106" s="10"/>
      <c r="B106" s="20" t="s">
        <v>66</v>
      </c>
      <c r="C106" s="10"/>
      <c r="D106" s="10"/>
      <c r="E106" s="10"/>
      <c r="F106" s="10"/>
      <c r="G106" s="10"/>
      <c r="H106" s="10"/>
      <c r="I106" s="10"/>
      <c r="J106" s="10"/>
      <c r="K106" s="21" t="s">
        <v>26</v>
      </c>
      <c r="L106" s="21" t="s">
        <v>26</v>
      </c>
      <c r="M106" s="21" t="s">
        <v>71</v>
      </c>
      <c r="N106" s="10"/>
      <c r="O106" s="10"/>
      <c r="P106" s="10"/>
      <c r="Q106" s="21"/>
      <c r="R106" s="52" t="s">
        <v>87</v>
      </c>
      <c r="U106" s="110"/>
    </row>
    <row r="107" spans="1:23" x14ac:dyDescent="0.25">
      <c r="K107" s="26" t="s">
        <v>16</v>
      </c>
      <c r="L107" s="26" t="s">
        <v>18</v>
      </c>
      <c r="M107" s="26" t="s">
        <v>15</v>
      </c>
      <c r="U107" s="110"/>
    </row>
    <row r="108" spans="1:23" x14ac:dyDescent="0.25">
      <c r="B108" s="23">
        <f>B102+B54+B44</f>
        <v>1708</v>
      </c>
      <c r="C108" s="31" t="s">
        <v>65</v>
      </c>
      <c r="K108">
        <f>K102+F54+F44</f>
        <v>56</v>
      </c>
      <c r="L108">
        <f>F102+K54+K44</f>
        <v>57</v>
      </c>
      <c r="M108">
        <f>D44</f>
        <v>28</v>
      </c>
      <c r="P108" s="22" t="s">
        <v>91</v>
      </c>
      <c r="R108" s="24">
        <f>R102+R54+R44</f>
        <v>149.21666666666658</v>
      </c>
      <c r="S108" s="24">
        <v>100.08333333333331</v>
      </c>
      <c r="T108" s="100"/>
      <c r="U108" s="24"/>
      <c r="V108" s="105">
        <f>V102+V51+V44</f>
        <v>97.833333333333258</v>
      </c>
    </row>
    <row r="109" spans="1:23" x14ac:dyDescent="0.25">
      <c r="L109" s="22" t="s">
        <v>88</v>
      </c>
      <c r="M109" s="4">
        <f>R108/M108</f>
        <v>5.3291666666666639</v>
      </c>
      <c r="P109" s="22" t="s">
        <v>92</v>
      </c>
      <c r="R109" s="105">
        <f>D44</f>
        <v>28</v>
      </c>
      <c r="S109" s="17"/>
      <c r="T109" s="24"/>
      <c r="U109" s="110"/>
    </row>
    <row r="110" spans="1:23" x14ac:dyDescent="0.25">
      <c r="A110" s="50" t="s">
        <v>26</v>
      </c>
      <c r="B110" s="17">
        <f>B103+B55+B45</f>
        <v>6832</v>
      </c>
      <c r="C110" t="s">
        <v>81</v>
      </c>
      <c r="H110" s="28">
        <f>B110/B108</f>
        <v>4</v>
      </c>
      <c r="I110" t="s">
        <v>29</v>
      </c>
      <c r="Q110" s="22"/>
      <c r="R110" s="17"/>
      <c r="S110" s="17"/>
      <c r="U110" s="110"/>
    </row>
    <row r="111" spans="1:23" x14ac:dyDescent="0.25">
      <c r="B111" s="79">
        <f>B110*0.75*0.9+0.25*B110</f>
        <v>6319.6</v>
      </c>
      <c r="C111" s="1" t="s">
        <v>80</v>
      </c>
      <c r="D111" s="1"/>
      <c r="E111" s="1"/>
      <c r="F111" s="1"/>
      <c r="G111" s="1"/>
      <c r="H111" s="80">
        <f>B111/B108</f>
        <v>3.7</v>
      </c>
      <c r="I111" s="1" t="s">
        <v>29</v>
      </c>
      <c r="O111" s="104" t="s">
        <v>89</v>
      </c>
      <c r="P111" s="28">
        <v>60.24</v>
      </c>
      <c r="Q111" s="22"/>
      <c r="R111" s="17">
        <f>P111*R108</f>
        <v>8988.8119999999944</v>
      </c>
      <c r="S111" s="17">
        <v>6029.0199999999995</v>
      </c>
      <c r="T111" s="100"/>
      <c r="U111" s="148">
        <f>R108*P111</f>
        <v>8988.8119999999944</v>
      </c>
    </row>
    <row r="112" spans="1:23" x14ac:dyDescent="0.25">
      <c r="B112" s="1"/>
      <c r="C112" s="1"/>
      <c r="D112" s="1"/>
      <c r="E112" s="1"/>
      <c r="F112" s="1"/>
      <c r="G112" s="1"/>
      <c r="H112" s="1"/>
      <c r="I112" s="1"/>
      <c r="Q112" s="22"/>
      <c r="U112" s="110"/>
    </row>
    <row r="113" spans="1:24" x14ac:dyDescent="0.25">
      <c r="U113" s="110"/>
    </row>
    <row r="114" spans="1:24" x14ac:dyDescent="0.25">
      <c r="A114" s="50" t="s">
        <v>61</v>
      </c>
      <c r="B114" s="17">
        <f>ROUNDUP(B111*254,-3)</f>
        <v>1606000</v>
      </c>
      <c r="C114" t="s">
        <v>62</v>
      </c>
      <c r="P114" s="22" t="s">
        <v>93</v>
      </c>
      <c r="Q114" s="22"/>
      <c r="R114" s="23">
        <f>ROUNDUP(R108*254,-2)</f>
        <v>38000</v>
      </c>
      <c r="S114" s="17">
        <v>1531371.0799999998</v>
      </c>
      <c r="T114" s="100"/>
      <c r="U114" s="148">
        <f>R111*249</f>
        <v>2238214.1879999987</v>
      </c>
      <c r="V114">
        <f>ROUND(V108*254,-2)</f>
        <v>24800</v>
      </c>
    </row>
    <row r="115" spans="1:24" x14ac:dyDescent="0.25">
      <c r="A115" s="50"/>
      <c r="B115" s="17"/>
      <c r="P115" s="22" t="s">
        <v>56</v>
      </c>
      <c r="Q115" s="22"/>
      <c r="R115" s="17">
        <f>ROUNDUP(R111*254,-3)</f>
        <v>2284000</v>
      </c>
      <c r="S115" s="17"/>
      <c r="T115" s="100"/>
      <c r="U115" s="110"/>
    </row>
    <row r="116" spans="1:24" x14ac:dyDescent="0.25">
      <c r="A116" s="50"/>
      <c r="B116" s="17"/>
      <c r="N116" s="22" t="s">
        <v>104</v>
      </c>
      <c r="O116" s="17">
        <v>55000</v>
      </c>
      <c r="P116" s="22">
        <v>2</v>
      </c>
      <c r="Q116" s="31" t="s">
        <v>103</v>
      </c>
      <c r="R116" s="17">
        <f>O116*P116</f>
        <v>110000</v>
      </c>
      <c r="S116" s="17"/>
      <c r="T116" s="100"/>
      <c r="U116" s="110"/>
    </row>
    <row r="117" spans="1:24" x14ac:dyDescent="0.25">
      <c r="A117" s="50"/>
      <c r="B117" s="17"/>
      <c r="N117" s="22" t="s">
        <v>94</v>
      </c>
      <c r="O117" s="28">
        <v>1.48</v>
      </c>
      <c r="P117" s="23">
        <f>ROUND(97.8333333333333*254,-2)</f>
        <v>24800</v>
      </c>
      <c r="Q117" s="22"/>
      <c r="R117" s="17">
        <f>ROUND(O117*P117,-3)</f>
        <v>37000</v>
      </c>
      <c r="S117" s="17"/>
      <c r="T117" s="100"/>
      <c r="U117" s="110"/>
    </row>
    <row r="118" spans="1:24" x14ac:dyDescent="0.25">
      <c r="Q118" s="22"/>
      <c r="R118" s="17"/>
      <c r="T118" s="28"/>
      <c r="U118" s="110"/>
    </row>
    <row r="119" spans="1:24" x14ac:dyDescent="0.25">
      <c r="Q119" s="22"/>
      <c r="R119" s="48"/>
      <c r="U119" s="110"/>
    </row>
    <row r="120" spans="1:24" ht="15.75" thickBot="1" x14ac:dyDescent="0.3">
      <c r="A120" s="51" t="s">
        <v>61</v>
      </c>
      <c r="B120" s="35">
        <f>B114</f>
        <v>1606000</v>
      </c>
      <c r="C120" s="36" t="s">
        <v>27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4" t="s">
        <v>95</v>
      </c>
      <c r="R120" s="35">
        <f>SUM(R115:R119)</f>
        <v>2431000</v>
      </c>
      <c r="T120" s="17"/>
      <c r="U120" s="110"/>
      <c r="V120" s="17"/>
      <c r="W120" s="17"/>
      <c r="X120" s="17"/>
    </row>
    <row r="121" spans="1:24" x14ac:dyDescent="0.25">
      <c r="B121" s="49"/>
      <c r="Q121" s="22"/>
      <c r="R121" s="23"/>
      <c r="T121" s="17"/>
      <c r="U121" s="110"/>
    </row>
    <row r="122" spans="1:24" x14ac:dyDescent="0.25">
      <c r="A122" t="s">
        <v>63</v>
      </c>
      <c r="B122" s="27"/>
      <c r="Q122" s="32" t="s">
        <v>96</v>
      </c>
      <c r="R122" s="25">
        <f>B120</f>
        <v>1606000</v>
      </c>
      <c r="T122" s="17"/>
      <c r="U122" s="110"/>
    </row>
    <row r="123" spans="1:24" x14ac:dyDescent="0.25">
      <c r="A123" t="s">
        <v>64</v>
      </c>
      <c r="B123" s="28"/>
      <c r="Q123" s="32" t="s">
        <v>97</v>
      </c>
      <c r="R123" s="17">
        <f>R120-R122</f>
        <v>825000</v>
      </c>
      <c r="T123" s="28"/>
      <c r="U123" s="110"/>
    </row>
    <row r="124" spans="1:24" x14ac:dyDescent="0.25">
      <c r="A124" s="33"/>
      <c r="U124" s="110"/>
    </row>
    <row r="125" spans="1:24" x14ac:dyDescent="0.25">
      <c r="Q125" s="22" t="s">
        <v>98</v>
      </c>
      <c r="R125" s="106">
        <f>B108</f>
        <v>1708</v>
      </c>
      <c r="U125" s="110"/>
    </row>
    <row r="126" spans="1:24" x14ac:dyDescent="0.25">
      <c r="Q126" s="22" t="s">
        <v>99</v>
      </c>
      <c r="R126" s="107">
        <f>R122/R120</f>
        <v>0.66063348416289591</v>
      </c>
      <c r="U126" s="110"/>
    </row>
    <row r="127" spans="1:24" x14ac:dyDescent="0.25">
      <c r="Q127" s="108" t="s">
        <v>100</v>
      </c>
      <c r="R127" s="28">
        <f>R122/(R125*254)</f>
        <v>3.701893820649468</v>
      </c>
      <c r="U127" s="110"/>
    </row>
    <row r="128" spans="1:24" x14ac:dyDescent="0.25">
      <c r="Q128" s="108"/>
      <c r="R128" s="28"/>
      <c r="U128" s="110"/>
    </row>
    <row r="129" spans="1:13" x14ac:dyDescent="0.25">
      <c r="B129" s="170" t="s">
        <v>125</v>
      </c>
      <c r="C129" s="170"/>
      <c r="D129" s="170"/>
      <c r="E129" s="170"/>
      <c r="F129" s="170"/>
      <c r="G129" s="170"/>
      <c r="I129" s="108"/>
      <c r="J129" s="28"/>
      <c r="M129" s="110"/>
    </row>
    <row r="130" spans="1:13" x14ac:dyDescent="0.25">
      <c r="B130" s="170" t="str">
        <f>B105</f>
        <v>Option 4 Fort Bend Park &amp; Ride (Operated by Fort Bend County Public Transportation)</v>
      </c>
      <c r="C130" s="170"/>
      <c r="D130" s="170"/>
      <c r="E130" s="170"/>
      <c r="F130" s="170"/>
      <c r="G130" s="170"/>
      <c r="M130" s="110"/>
    </row>
    <row r="131" spans="1:13" x14ac:dyDescent="0.25">
      <c r="B131" s="170" t="s">
        <v>116</v>
      </c>
      <c r="C131" s="170"/>
      <c r="D131" s="170"/>
      <c r="E131" s="170"/>
      <c r="F131" s="170"/>
      <c r="G131" s="170"/>
      <c r="M131" s="110"/>
    </row>
    <row r="132" spans="1:13" x14ac:dyDescent="0.25">
      <c r="B132" s="149" t="s">
        <v>120</v>
      </c>
      <c r="C132" s="151" t="s">
        <v>126</v>
      </c>
      <c r="D132" s="68" t="s">
        <v>117</v>
      </c>
      <c r="E132" s="68"/>
      <c r="F132" s="68"/>
      <c r="G132" s="68"/>
      <c r="M132" s="110"/>
    </row>
    <row r="133" spans="1:13" x14ac:dyDescent="0.25">
      <c r="B133" s="134"/>
      <c r="C133" s="152" t="s">
        <v>127</v>
      </c>
      <c r="D133" s="68" t="s">
        <v>118</v>
      </c>
      <c r="E133" s="68"/>
      <c r="F133" s="68"/>
      <c r="G133" s="68"/>
      <c r="M133" s="110"/>
    </row>
    <row r="134" spans="1:13" x14ac:dyDescent="0.25">
      <c r="B134" s="134"/>
      <c r="C134" s="153">
        <v>44409</v>
      </c>
      <c r="D134" s="68" t="s">
        <v>119</v>
      </c>
      <c r="E134" s="68"/>
      <c r="F134" s="68"/>
      <c r="G134" s="68"/>
      <c r="M134" s="110"/>
    </row>
    <row r="135" spans="1:13" x14ac:dyDescent="0.25">
      <c r="A135" s="134"/>
      <c r="B135" s="68"/>
      <c r="C135" s="68"/>
      <c r="D135" s="68"/>
      <c r="E135" s="68"/>
      <c r="F135" s="68"/>
      <c r="G135" s="68"/>
      <c r="M135" s="110"/>
    </row>
    <row r="136" spans="1:13" x14ac:dyDescent="0.25">
      <c r="B136" s="149" t="s">
        <v>91</v>
      </c>
      <c r="C136" s="144">
        <f>$R$108</f>
        <v>149.21666666666658</v>
      </c>
      <c r="D136" s="144">
        <f t="shared" ref="D136:G136" si="97">$R$108</f>
        <v>149.21666666666658</v>
      </c>
      <c r="E136" s="144">
        <f t="shared" si="97"/>
        <v>149.21666666666658</v>
      </c>
      <c r="F136" s="144">
        <f t="shared" si="97"/>
        <v>149.21666666666658</v>
      </c>
      <c r="G136" s="144">
        <f t="shared" si="97"/>
        <v>149.21666666666658</v>
      </c>
      <c r="M136" s="110"/>
    </row>
    <row r="137" spans="1:13" x14ac:dyDescent="0.25">
      <c r="B137" s="149" t="s">
        <v>92</v>
      </c>
      <c r="C137" s="145">
        <f>$R$109</f>
        <v>28</v>
      </c>
      <c r="D137" s="145">
        <f t="shared" ref="D137:G137" si="98">$R$109</f>
        <v>28</v>
      </c>
      <c r="E137" s="145">
        <f t="shared" si="98"/>
        <v>28</v>
      </c>
      <c r="F137" s="145">
        <f t="shared" si="98"/>
        <v>28</v>
      </c>
      <c r="G137" s="145">
        <f t="shared" si="98"/>
        <v>28</v>
      </c>
      <c r="M137" s="110"/>
    </row>
    <row r="138" spans="1:13" x14ac:dyDescent="0.25">
      <c r="B138" s="150" t="s">
        <v>112</v>
      </c>
      <c r="C138" s="146">
        <f>SUM(49.38*3%)+49.38</f>
        <v>50.861400000000003</v>
      </c>
      <c r="D138" s="146">
        <f>SUM(50.68*3%)+50.68</f>
        <v>52.200400000000002</v>
      </c>
      <c r="E138" s="146">
        <f>SUM(52.01*3%)+52.01</f>
        <v>53.570299999999996</v>
      </c>
      <c r="F138" s="146">
        <f>SUM(E138*3%)+E138</f>
        <v>55.177408999999997</v>
      </c>
      <c r="G138" s="146">
        <f>SUM(F138*3%)+F138</f>
        <v>56.832731269999996</v>
      </c>
      <c r="M138" s="110"/>
    </row>
    <row r="139" spans="1:13" x14ac:dyDescent="0.25">
      <c r="B139" s="149" t="s">
        <v>111</v>
      </c>
      <c r="C139" s="147">
        <f>C138*C136</f>
        <v>7589.368569999996</v>
      </c>
      <c r="D139" s="147">
        <f t="shared" ref="D139:G139" si="99">D138*D136</f>
        <v>7789.1696866666625</v>
      </c>
      <c r="E139" s="147">
        <f t="shared" si="99"/>
        <v>7993.5815983333287</v>
      </c>
      <c r="F139" s="147">
        <f t="shared" si="99"/>
        <v>8233.3890462833278</v>
      </c>
      <c r="G139" s="147">
        <f t="shared" si="99"/>
        <v>8480.3907176718276</v>
      </c>
      <c r="M139" s="110"/>
    </row>
    <row r="140" spans="1:13" x14ac:dyDescent="0.25">
      <c r="B140" s="149" t="s">
        <v>93</v>
      </c>
      <c r="C140" s="145">
        <f>ROUNDUP(C136*254,-2)</f>
        <v>38000</v>
      </c>
      <c r="D140" s="145">
        <f>ROUNDUP(D136*254,-2)</f>
        <v>38000</v>
      </c>
      <c r="E140" s="145">
        <f>ROUNDUP(E136*254,-2)</f>
        <v>38000</v>
      </c>
      <c r="F140" s="145">
        <f>ROUNDUP(F136*254,-2)</f>
        <v>38000</v>
      </c>
      <c r="G140" s="145">
        <f>ROUNDUP(G136*254,-2)</f>
        <v>38000</v>
      </c>
      <c r="M140" s="110"/>
    </row>
    <row r="141" spans="1:13" x14ac:dyDescent="0.25">
      <c r="B141" s="149" t="s">
        <v>113</v>
      </c>
      <c r="C141" s="147">
        <f>ROUNDUP(C139*254,-3)</f>
        <v>1928000</v>
      </c>
      <c r="D141" s="147">
        <f t="shared" ref="D141:G141" si="100">ROUNDUP(D139*254,-3)</f>
        <v>1979000</v>
      </c>
      <c r="E141" s="147">
        <f t="shared" si="100"/>
        <v>2031000</v>
      </c>
      <c r="F141" s="147">
        <f t="shared" si="100"/>
        <v>2092000</v>
      </c>
      <c r="G141" s="147">
        <f t="shared" si="100"/>
        <v>2155000</v>
      </c>
      <c r="M141" s="110"/>
    </row>
    <row r="142" spans="1:13" x14ac:dyDescent="0.25">
      <c r="A142" s="134"/>
      <c r="B142" s="68"/>
      <c r="C142" s="68"/>
      <c r="D142" s="68"/>
      <c r="E142" s="68"/>
      <c r="F142" s="68"/>
      <c r="G142" s="68"/>
      <c r="M142" s="110"/>
    </row>
    <row r="143" spans="1:13" x14ac:dyDescent="0.25">
      <c r="A143" s="68"/>
      <c r="B143" s="68"/>
      <c r="C143" s="142" t="s">
        <v>128</v>
      </c>
      <c r="D143" s="142" t="s">
        <v>83</v>
      </c>
      <c r="E143" s="142" t="s">
        <v>84</v>
      </c>
      <c r="F143" s="142" t="s">
        <v>85</v>
      </c>
      <c r="G143" s="142" t="s">
        <v>115</v>
      </c>
      <c r="M143" s="110"/>
    </row>
    <row r="144" spans="1:13" x14ac:dyDescent="0.25">
      <c r="B144" s="135" t="s">
        <v>86</v>
      </c>
      <c r="C144" s="143">
        <v>1</v>
      </c>
      <c r="D144" s="143">
        <v>1</v>
      </c>
      <c r="E144" s="143">
        <v>1</v>
      </c>
      <c r="F144" s="143">
        <v>1</v>
      </c>
      <c r="G144" s="143">
        <v>1</v>
      </c>
      <c r="M144" s="110"/>
    </row>
    <row r="145" spans="2:13" x14ac:dyDescent="0.25">
      <c r="B145" s="140" t="s">
        <v>93</v>
      </c>
      <c r="C145" s="115">
        <f>ROUNDUP($C$140*C144,-2)</f>
        <v>38000</v>
      </c>
      <c r="D145" s="115">
        <f>ROUNDUP($D$140*D144,-2)</f>
        <v>38000</v>
      </c>
      <c r="E145" s="115">
        <f>ROUNDUP($E$140*E144,-2)</f>
        <v>38000</v>
      </c>
      <c r="F145" s="115">
        <f>ROUNDUP($F$140*F144,-2)</f>
        <v>38000</v>
      </c>
      <c r="G145" s="115">
        <f>ROUNDUP($G$140*G144,-2)</f>
        <v>38000</v>
      </c>
      <c r="M145" s="110"/>
    </row>
    <row r="146" spans="2:13" x14ac:dyDescent="0.25">
      <c r="B146" s="140" t="s">
        <v>121</v>
      </c>
      <c r="C146" s="116">
        <f>ROUNDUP($C$141*C144,-3)</f>
        <v>1928000</v>
      </c>
      <c r="D146" s="116">
        <f>ROUNDUP($D$141*D144,-3)</f>
        <v>1979000</v>
      </c>
      <c r="E146" s="116">
        <f>ROUNDUP($E$141*E144,-3)</f>
        <v>2031000</v>
      </c>
      <c r="F146" s="116">
        <f>ROUNDUP($F$141*F144,-3)</f>
        <v>2092000</v>
      </c>
      <c r="G146" s="116">
        <f>ROUNDUP($G$141*G144,-3)</f>
        <v>2155000</v>
      </c>
      <c r="M146" s="110"/>
    </row>
    <row r="147" spans="2:13" x14ac:dyDescent="0.25">
      <c r="B147" s="140" t="s">
        <v>114</v>
      </c>
      <c r="C147" s="116">
        <v>18750</v>
      </c>
      <c r="D147" s="116">
        <v>18750</v>
      </c>
      <c r="E147" s="116">
        <v>18750</v>
      </c>
      <c r="F147" s="116">
        <v>18750</v>
      </c>
      <c r="G147" s="116">
        <v>18750</v>
      </c>
      <c r="M147" s="110"/>
    </row>
    <row r="148" spans="2:13" x14ac:dyDescent="0.25">
      <c r="B148" s="140" t="s">
        <v>82</v>
      </c>
      <c r="C148" s="164">
        <f>$R$117</f>
        <v>37000</v>
      </c>
      <c r="D148" s="164">
        <f t="shared" ref="D148:G148" si="101">$R$117</f>
        <v>37000</v>
      </c>
      <c r="E148" s="164">
        <f t="shared" si="101"/>
        <v>37000</v>
      </c>
      <c r="F148" s="164">
        <f t="shared" si="101"/>
        <v>37000</v>
      </c>
      <c r="G148" s="164">
        <f t="shared" si="101"/>
        <v>37000</v>
      </c>
      <c r="M148" s="110"/>
    </row>
    <row r="149" spans="2:13" s="1" customFormat="1" x14ac:dyDescent="0.25">
      <c r="B149" s="140" t="s">
        <v>130</v>
      </c>
      <c r="C149" s="117">
        <f>28*148745</f>
        <v>4164860</v>
      </c>
      <c r="D149" s="165" t="s">
        <v>124</v>
      </c>
      <c r="E149" s="165" t="s">
        <v>124</v>
      </c>
      <c r="F149" s="165" t="s">
        <v>124</v>
      </c>
      <c r="G149" s="165" t="s">
        <v>124</v>
      </c>
      <c r="H149"/>
      <c r="M149" s="158"/>
    </row>
    <row r="150" spans="2:13" ht="15.75" thickBot="1" x14ac:dyDescent="0.3">
      <c r="B150" s="156" t="s">
        <v>123</v>
      </c>
      <c r="C150" s="157">
        <f>SUM(C146:C149)</f>
        <v>6148610</v>
      </c>
      <c r="D150" s="157">
        <f>SUM(D146:D148)</f>
        <v>2034750</v>
      </c>
      <c r="E150" s="157">
        <f>SUM(E146:E148)</f>
        <v>2086750</v>
      </c>
      <c r="F150" s="157">
        <f>SUM(F146:F148)</f>
        <v>2147750</v>
      </c>
      <c r="G150" s="157">
        <f>SUM(G146:G148)</f>
        <v>2210750</v>
      </c>
      <c r="H150" s="1"/>
      <c r="M150" s="110"/>
    </row>
    <row r="151" spans="2:13" ht="15.75" thickTop="1" x14ac:dyDescent="0.25">
      <c r="B151" s="140"/>
      <c r="C151" s="118"/>
      <c r="D151" s="118"/>
      <c r="E151" s="118"/>
      <c r="F151" s="118"/>
      <c r="G151" s="118"/>
      <c r="M151" s="110"/>
    </row>
    <row r="152" spans="2:13" x14ac:dyDescent="0.25">
      <c r="B152" s="135" t="s">
        <v>21</v>
      </c>
      <c r="C152" s="143">
        <v>0.6</v>
      </c>
      <c r="D152" s="143">
        <v>0.75</v>
      </c>
      <c r="E152" s="143">
        <v>0.9</v>
      </c>
      <c r="F152" s="143">
        <v>1</v>
      </c>
      <c r="G152" s="143">
        <v>1</v>
      </c>
      <c r="M152" s="110"/>
    </row>
    <row r="153" spans="2:13" x14ac:dyDescent="0.25">
      <c r="B153" s="141" t="s">
        <v>106</v>
      </c>
      <c r="C153" s="171">
        <f>ROUNDUP($B$108*C152,-1)</f>
        <v>1030</v>
      </c>
      <c r="D153" s="171">
        <f t="shared" ref="D153:G153" si="102">ROUNDUP($B$108*D152,-1)</f>
        <v>1290</v>
      </c>
      <c r="E153" s="171">
        <f t="shared" si="102"/>
        <v>1540</v>
      </c>
      <c r="F153" s="171">
        <f t="shared" si="102"/>
        <v>1710</v>
      </c>
      <c r="G153" s="171">
        <f t="shared" si="102"/>
        <v>1710</v>
      </c>
      <c r="M153" s="110"/>
    </row>
    <row r="154" spans="2:13" x14ac:dyDescent="0.25">
      <c r="B154" s="141" t="s">
        <v>109</v>
      </c>
      <c r="C154" s="167">
        <f>ROUND(C153*254,-3)</f>
        <v>262000</v>
      </c>
      <c r="D154" s="167">
        <f>ROUND(D153*254,-3)</f>
        <v>328000</v>
      </c>
      <c r="E154" s="167">
        <f>ROUND(E153*254,-3)</f>
        <v>391000</v>
      </c>
      <c r="F154" s="167">
        <f>ROUND(F153*254,-3)</f>
        <v>434000</v>
      </c>
      <c r="G154" s="167">
        <f>ROUND(G153*254,-3)</f>
        <v>434000</v>
      </c>
      <c r="M154" s="110"/>
    </row>
    <row r="155" spans="2:13" x14ac:dyDescent="0.25">
      <c r="B155" s="141" t="s">
        <v>19</v>
      </c>
      <c r="C155" s="166">
        <f>ROUND($B$111*254*C152,-3)</f>
        <v>963000</v>
      </c>
      <c r="D155" s="166">
        <f>ROUND($B$111*254*D152,-3)</f>
        <v>1204000</v>
      </c>
      <c r="E155" s="166">
        <f>ROUND($B$111*254*E152,-3)</f>
        <v>1445000</v>
      </c>
      <c r="F155" s="166">
        <f>ROUND($B$111*254*F152,-3)</f>
        <v>1605000</v>
      </c>
      <c r="G155" s="166">
        <f>ROUND($B$111*254*G152,-3)</f>
        <v>1605000</v>
      </c>
      <c r="M155" s="110"/>
    </row>
    <row r="156" spans="2:13" x14ac:dyDescent="0.25">
      <c r="B156" s="141" t="s">
        <v>99</v>
      </c>
      <c r="C156" s="161">
        <f>C155/C150</f>
        <v>0.1566207646931583</v>
      </c>
      <c r="D156" s="161">
        <f t="shared" ref="D156:G156" si="103">D155/D150</f>
        <v>0.59171888438383091</v>
      </c>
      <c r="E156" s="161">
        <f t="shared" si="103"/>
        <v>0.6924643584521385</v>
      </c>
      <c r="F156" s="161">
        <f t="shared" si="103"/>
        <v>0.74729367943196368</v>
      </c>
      <c r="G156" s="161">
        <f t="shared" si="103"/>
        <v>0.7259979644916883</v>
      </c>
      <c r="M156" s="110"/>
    </row>
    <row r="157" spans="2:13" x14ac:dyDescent="0.25">
      <c r="B157" s="140"/>
      <c r="C157" s="68"/>
      <c r="D157" s="68"/>
      <c r="E157" s="68"/>
      <c r="F157" s="68"/>
      <c r="G157" s="68"/>
      <c r="M157" s="110"/>
    </row>
    <row r="158" spans="2:13" s="154" customFormat="1" x14ac:dyDescent="0.25">
      <c r="B158" s="141" t="s">
        <v>107</v>
      </c>
      <c r="C158" s="155">
        <f>C150</f>
        <v>6148610</v>
      </c>
      <c r="D158" s="155">
        <f t="shared" ref="D158:G158" si="104">D150</f>
        <v>2034750</v>
      </c>
      <c r="E158" s="155">
        <f t="shared" si="104"/>
        <v>2086750</v>
      </c>
      <c r="F158" s="155">
        <f t="shared" si="104"/>
        <v>2147750</v>
      </c>
      <c r="G158" s="155">
        <f t="shared" si="104"/>
        <v>2210750</v>
      </c>
      <c r="H158"/>
      <c r="M158" s="111"/>
    </row>
    <row r="159" spans="2:13" s="159" customFormat="1" x14ac:dyDescent="0.25">
      <c r="B159" s="140" t="s">
        <v>108</v>
      </c>
      <c r="C159" s="118">
        <f>C155</f>
        <v>963000</v>
      </c>
      <c r="D159" s="118">
        <f>D155</f>
        <v>1204000</v>
      </c>
      <c r="E159" s="118">
        <f>E155</f>
        <v>1445000</v>
      </c>
      <c r="F159" s="118">
        <f>F155</f>
        <v>1605000</v>
      </c>
      <c r="G159" s="118">
        <f>G155</f>
        <v>1605000</v>
      </c>
      <c r="H159" s="162" t="s">
        <v>129</v>
      </c>
      <c r="M159" s="160"/>
    </row>
    <row r="160" spans="2:13" s="168" customFormat="1" ht="15.75" thickBot="1" x14ac:dyDescent="0.3">
      <c r="B160" s="156" t="s">
        <v>122</v>
      </c>
      <c r="C160" s="157">
        <f>C158-C159</f>
        <v>5185610</v>
      </c>
      <c r="D160" s="157">
        <f t="shared" ref="D160" si="105">D158-D159</f>
        <v>830750</v>
      </c>
      <c r="E160" s="157">
        <f t="shared" ref="E160" si="106">E158-E159</f>
        <v>641750</v>
      </c>
      <c r="F160" s="157">
        <f t="shared" ref="F160" si="107">F158-F159</f>
        <v>542750</v>
      </c>
      <c r="G160" s="157">
        <f t="shared" ref="G160" si="108">G158-G159</f>
        <v>605750</v>
      </c>
      <c r="H160" s="163">
        <f>SUM(C160:G160)</f>
        <v>7806610</v>
      </c>
      <c r="M160" s="169"/>
    </row>
    <row r="161" spans="5:8" ht="15.75" thickTop="1" x14ac:dyDescent="0.25">
      <c r="E161" s="68"/>
      <c r="F161" s="68"/>
      <c r="G161" s="68"/>
      <c r="H161" s="68"/>
    </row>
  </sheetData>
  <mergeCells count="3">
    <mergeCell ref="B129:G129"/>
    <mergeCell ref="B130:G130"/>
    <mergeCell ref="B131:G131"/>
  </mergeCells>
  <hyperlinks>
    <hyperlink ref="K44" r:id="rId1" display="=@count(N5:N35"/>
  </hyperlinks>
  <printOptions horizontalCentered="1"/>
  <pageMargins left="0.7" right="0.7" top="0.5" bottom="0.5" header="0.3" footer="0.3"/>
  <pageSetup scale="68" fitToWidth="0" fitToHeight="0" orientation="landscape" r:id="rId2"/>
  <colBreaks count="1" manualBreakCount="1">
    <brk id="8" min="128" max="181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4"/>
  <sheetViews>
    <sheetView workbookViewId="0">
      <selection activeCell="L122" sqref="L122"/>
    </sheetView>
  </sheetViews>
  <sheetFormatPr defaultRowHeight="15" x14ac:dyDescent="0.25"/>
  <cols>
    <col min="1" max="1" width="9.140625" customWidth="1"/>
    <col min="2" max="2" width="9" customWidth="1"/>
    <col min="3" max="3" width="9.140625" customWidth="1"/>
    <col min="4" max="4" width="9.28515625" customWidth="1"/>
    <col min="5" max="5" width="4.42578125" customWidth="1"/>
    <col min="6" max="6" width="10.42578125" customWidth="1"/>
    <col min="8" max="8" width="10" customWidth="1"/>
    <col min="9" max="9" width="5.140625" customWidth="1"/>
    <col min="10" max="10" width="9.5703125" customWidth="1"/>
    <col min="11" max="11" width="5.85546875" customWidth="1"/>
  </cols>
  <sheetData>
    <row r="1" spans="2:16" ht="18.75" x14ac:dyDescent="0.3">
      <c r="B1" s="45" t="s">
        <v>74</v>
      </c>
    </row>
    <row r="2" spans="2:16" ht="18.75" x14ac:dyDescent="0.3">
      <c r="B2" s="29"/>
    </row>
    <row r="3" spans="2:16" ht="15.75" x14ac:dyDescent="0.25">
      <c r="B3" s="119" t="s">
        <v>48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2:16" ht="55.5" customHeight="1" x14ac:dyDescent="0.25">
      <c r="B4" s="121" t="s">
        <v>55</v>
      </c>
      <c r="C4" s="121" t="s">
        <v>2</v>
      </c>
      <c r="D4" s="121" t="s">
        <v>76</v>
      </c>
      <c r="E4" s="121" t="s">
        <v>49</v>
      </c>
      <c r="F4" s="122" t="s">
        <v>77</v>
      </c>
      <c r="G4" s="121" t="s">
        <v>30</v>
      </c>
      <c r="H4" s="121" t="s">
        <v>31</v>
      </c>
      <c r="I4" s="121" t="s">
        <v>50</v>
      </c>
      <c r="J4" s="121" t="s">
        <v>75</v>
      </c>
      <c r="K4" s="121" t="s">
        <v>0</v>
      </c>
      <c r="M4" s="30" t="s">
        <v>105</v>
      </c>
    </row>
    <row r="5" spans="2:16" x14ac:dyDescent="0.25">
      <c r="B5" s="129">
        <f>'Calcs Option 4'!B5</f>
        <v>12</v>
      </c>
      <c r="C5" s="129">
        <f>'Calcs Option 4'!C5</f>
        <v>1</v>
      </c>
      <c r="D5" s="38"/>
      <c r="E5" s="41">
        <f>'Calcs Option 4'!C5</f>
        <v>1</v>
      </c>
      <c r="F5" s="89">
        <f>'Calcs Option 4'!F5</f>
        <v>0.20833333333333334</v>
      </c>
      <c r="G5" s="89">
        <f>'Calcs Option 4'!I5</f>
        <v>0.2361111111111111</v>
      </c>
      <c r="H5" s="89">
        <f>'Calcs Option 4'!J5</f>
        <v>0.24513888888888888</v>
      </c>
      <c r="I5" s="43"/>
      <c r="J5" s="39"/>
      <c r="K5" s="123">
        <f>'Calcs Option 4'!D5</f>
        <v>1</v>
      </c>
      <c r="M5" s="110">
        <f>G5-F5</f>
        <v>2.7777777777777762E-2</v>
      </c>
      <c r="N5" s="110">
        <f>H5-G5</f>
        <v>9.0277777777777735E-3</v>
      </c>
      <c r="O5" s="111"/>
    </row>
    <row r="6" spans="2:16" x14ac:dyDescent="0.25">
      <c r="B6" s="129"/>
      <c r="C6" s="123" t="s">
        <v>32</v>
      </c>
      <c r="D6" s="121"/>
      <c r="E6" s="42"/>
      <c r="F6" s="90">
        <f>'Calcs Option 4'!L5</f>
        <v>0.27291666666666664</v>
      </c>
      <c r="G6" s="90"/>
      <c r="H6" s="91">
        <f>'Calcs Option 4'!K5</f>
        <v>0.24861111111111109</v>
      </c>
      <c r="I6" s="42" t="s">
        <v>32</v>
      </c>
      <c r="J6" s="40"/>
      <c r="K6" s="123">
        <f>K5</f>
        <v>1</v>
      </c>
      <c r="M6" s="110"/>
      <c r="N6" s="110"/>
      <c r="O6" s="110">
        <f>F6-H6</f>
        <v>2.4305555555555552E-2</v>
      </c>
      <c r="P6" s="111"/>
    </row>
    <row r="7" spans="2:16" x14ac:dyDescent="0.25">
      <c r="B7" s="129">
        <f>'Calcs Option 4'!B6</f>
        <v>12</v>
      </c>
      <c r="C7" s="129">
        <f>'Calcs Option 4'!C6</f>
        <v>2</v>
      </c>
      <c r="D7" s="38"/>
      <c r="E7" s="41">
        <f>'Calcs Option 4'!C6</f>
        <v>2</v>
      </c>
      <c r="F7" s="89">
        <f>'Calcs Option 4'!F6</f>
        <v>0.21875</v>
      </c>
      <c r="G7" s="89">
        <f>'Calcs Option 4'!I6</f>
        <v>0.24652777777777779</v>
      </c>
      <c r="H7" s="89">
        <f>'Calcs Option 4'!J6</f>
        <v>0.25555555555555559</v>
      </c>
      <c r="I7" s="43"/>
      <c r="J7" s="39"/>
      <c r="K7" s="123">
        <f>'Calcs Option 4'!D6</f>
        <v>2</v>
      </c>
      <c r="M7" s="110">
        <f>G7-F7</f>
        <v>2.777777777777779E-2</v>
      </c>
      <c r="N7" s="110">
        <f>H7-G7</f>
        <v>9.0277777777778012E-3</v>
      </c>
      <c r="O7" s="111"/>
    </row>
    <row r="8" spans="2:16" x14ac:dyDescent="0.25">
      <c r="B8" s="129"/>
      <c r="C8" s="123" t="s">
        <v>33</v>
      </c>
      <c r="D8" s="121"/>
      <c r="E8" s="42"/>
      <c r="F8" s="90">
        <f>'Calcs Option 4'!L6</f>
        <v>0.28333333333333338</v>
      </c>
      <c r="G8" s="90"/>
      <c r="H8" s="91">
        <f>'Calcs Option 4'!K6</f>
        <v>0.2590277777777778</v>
      </c>
      <c r="I8" s="42" t="s">
        <v>33</v>
      </c>
      <c r="J8" s="40"/>
      <c r="K8" s="123">
        <f>K7</f>
        <v>2</v>
      </c>
      <c r="M8" s="110"/>
      <c r="N8" s="110"/>
      <c r="O8" s="110">
        <f>F8-H8</f>
        <v>2.430555555555558E-2</v>
      </c>
    </row>
    <row r="9" spans="2:16" x14ac:dyDescent="0.25">
      <c r="B9" s="129">
        <f>'Calcs Option 4'!B7</f>
        <v>12</v>
      </c>
      <c r="C9" s="129">
        <f>'Calcs Option 4'!C7</f>
        <v>3</v>
      </c>
      <c r="D9" s="38"/>
      <c r="E9" s="41">
        <f>'Calcs Option 4'!C7</f>
        <v>3</v>
      </c>
      <c r="F9" s="89">
        <f>'Calcs Option 4'!F7</f>
        <v>0.22916666666666666</v>
      </c>
      <c r="G9" s="89">
        <f>'Calcs Option 4'!I7</f>
        <v>0.25694444444444442</v>
      </c>
      <c r="H9" s="89">
        <f>'Calcs Option 4'!J7</f>
        <v>0.26597222222222222</v>
      </c>
      <c r="I9" s="43"/>
      <c r="J9" s="39"/>
      <c r="K9" s="123">
        <f>'Calcs Option 4'!D7</f>
        <v>3</v>
      </c>
      <c r="M9" s="110">
        <f>G9-F9</f>
        <v>2.7777777777777762E-2</v>
      </c>
      <c r="N9" s="110">
        <f>H9-G9</f>
        <v>9.0277777777778012E-3</v>
      </c>
      <c r="O9" s="111"/>
    </row>
    <row r="10" spans="2:16" x14ac:dyDescent="0.25">
      <c r="B10" s="129"/>
      <c r="C10" s="123" t="s">
        <v>34</v>
      </c>
      <c r="D10" s="121"/>
      <c r="E10" s="42"/>
      <c r="F10" s="90">
        <f>'Calcs Option 4'!L7</f>
        <v>0.29375000000000001</v>
      </c>
      <c r="G10" s="90"/>
      <c r="H10" s="91">
        <f>'Calcs Option 4'!K7</f>
        <v>0.26944444444444443</v>
      </c>
      <c r="I10" s="42" t="s">
        <v>34</v>
      </c>
      <c r="J10" s="40"/>
      <c r="K10" s="123">
        <f>K9</f>
        <v>3</v>
      </c>
      <c r="M10" s="110"/>
      <c r="N10" s="110"/>
      <c r="O10" s="110">
        <f>F10-H10</f>
        <v>2.430555555555558E-2</v>
      </c>
    </row>
    <row r="11" spans="2:16" x14ac:dyDescent="0.25">
      <c r="B11" s="129">
        <f>'Calcs Option 4'!B8</f>
        <v>24</v>
      </c>
      <c r="C11" s="129">
        <f>'Calcs Option 4'!C8</f>
        <v>4</v>
      </c>
      <c r="D11" s="38"/>
      <c r="E11" s="41">
        <f>'Calcs Option 4'!C8</f>
        <v>4</v>
      </c>
      <c r="F11" s="89">
        <f>'Calcs Option 4'!F8</f>
        <v>0.23958333333333331</v>
      </c>
      <c r="G11" s="89">
        <f>'Calcs Option 4'!I8</f>
        <v>0.2673611111111111</v>
      </c>
      <c r="H11" s="89">
        <f>'Calcs Option 4'!J8</f>
        <v>0.27638888888888891</v>
      </c>
      <c r="I11" s="43"/>
      <c r="J11" s="39"/>
      <c r="K11" s="123">
        <f>'Calcs Option 4'!D8</f>
        <v>4</v>
      </c>
      <c r="M11" s="110">
        <f>G11-F11</f>
        <v>2.777777777777779E-2</v>
      </c>
      <c r="N11" s="110">
        <f>H11-G11</f>
        <v>9.0277777777778012E-3</v>
      </c>
      <c r="O11" s="111"/>
    </row>
    <row r="12" spans="2:16" x14ac:dyDescent="0.25">
      <c r="B12" s="129"/>
      <c r="C12" s="123" t="s">
        <v>35</v>
      </c>
      <c r="D12" s="121"/>
      <c r="E12" s="42"/>
      <c r="F12" s="90">
        <f>'Calcs Option 4'!L8</f>
        <v>0.3041666666666667</v>
      </c>
      <c r="G12" s="90"/>
      <c r="H12" s="91">
        <f>'Calcs Option 4'!K8</f>
        <v>0.27986111111111112</v>
      </c>
      <c r="I12" s="42" t="s">
        <v>35</v>
      </c>
      <c r="J12" s="40"/>
      <c r="K12" s="123">
        <f>K11</f>
        <v>4</v>
      </c>
      <c r="M12" s="110"/>
      <c r="N12" s="110"/>
      <c r="O12" s="110">
        <f>F12-H12</f>
        <v>2.430555555555558E-2</v>
      </c>
    </row>
    <row r="13" spans="2:16" x14ac:dyDescent="0.25">
      <c r="B13" s="129">
        <f>'Calcs Option 4'!B9</f>
        <v>24</v>
      </c>
      <c r="C13" s="129">
        <f>'Calcs Option 4'!C9</f>
        <v>5</v>
      </c>
      <c r="D13" s="38"/>
      <c r="E13" s="41">
        <f>'Calcs Option 4'!C9</f>
        <v>5</v>
      </c>
      <c r="F13" s="89">
        <f>'Calcs Option 4'!F9</f>
        <v>0.24999999999999997</v>
      </c>
      <c r="G13" s="89">
        <f>'Calcs Option 4'!I9</f>
        <v>0.27777777777777773</v>
      </c>
      <c r="H13" s="89">
        <f>'Calcs Option 4'!J9</f>
        <v>0.28680555555555554</v>
      </c>
      <c r="I13" s="43"/>
      <c r="J13" s="39"/>
      <c r="K13" s="123">
        <f>'Calcs Option 4'!D9</f>
        <v>5</v>
      </c>
      <c r="M13" s="110">
        <f>G13-F13</f>
        <v>2.7777777777777762E-2</v>
      </c>
      <c r="N13" s="110">
        <f>H13-G13</f>
        <v>9.0277777777778012E-3</v>
      </c>
      <c r="O13" s="111"/>
    </row>
    <row r="14" spans="2:16" x14ac:dyDescent="0.25">
      <c r="B14" s="129"/>
      <c r="C14" s="123" t="s">
        <v>36</v>
      </c>
      <c r="D14" s="121"/>
      <c r="E14" s="42"/>
      <c r="F14" s="90">
        <f>'Calcs Option 4'!L9</f>
        <v>0.31458333333333333</v>
      </c>
      <c r="G14" s="90"/>
      <c r="H14" s="91">
        <f>'Calcs Option 4'!K9</f>
        <v>0.29027777777777775</v>
      </c>
      <c r="I14" s="42" t="s">
        <v>36</v>
      </c>
      <c r="J14" s="40"/>
      <c r="K14" s="123">
        <f>K13</f>
        <v>5</v>
      </c>
      <c r="M14" s="110"/>
      <c r="N14" s="110"/>
      <c r="O14" s="110">
        <f>F14-H14</f>
        <v>2.430555555555558E-2</v>
      </c>
    </row>
    <row r="15" spans="2:16" x14ac:dyDescent="0.25">
      <c r="B15" s="129">
        <f>'Calcs Option 4'!B10</f>
        <v>24</v>
      </c>
      <c r="C15" s="129">
        <f>'Calcs Option 4'!C10</f>
        <v>6</v>
      </c>
      <c r="D15" s="38"/>
      <c r="E15" s="41">
        <f>'Calcs Option 4'!C10</f>
        <v>6</v>
      </c>
      <c r="F15" s="89">
        <f>'Calcs Option 4'!F10</f>
        <v>0.25694444444444442</v>
      </c>
      <c r="G15" s="89">
        <f>'Calcs Option 4'!I10</f>
        <v>0.28472222222222221</v>
      </c>
      <c r="H15" s="89">
        <f>'Calcs Option 4'!J10</f>
        <v>0.29375000000000001</v>
      </c>
      <c r="I15" s="43"/>
      <c r="J15" s="39"/>
      <c r="K15" s="123">
        <f>'Calcs Option 4'!D10</f>
        <v>6</v>
      </c>
      <c r="M15" s="110">
        <f>G15-F15</f>
        <v>2.777777777777779E-2</v>
      </c>
      <c r="N15" s="110">
        <f>H15-G15</f>
        <v>9.0277777777778012E-3</v>
      </c>
      <c r="O15" s="111"/>
    </row>
    <row r="16" spans="2:16" x14ac:dyDescent="0.25">
      <c r="B16" s="129"/>
      <c r="C16" s="123" t="s">
        <v>37</v>
      </c>
      <c r="D16" s="121"/>
      <c r="E16" s="42"/>
      <c r="F16" s="90">
        <f>'Calcs Option 4'!L10</f>
        <v>0.3215277777777778</v>
      </c>
      <c r="G16" s="90"/>
      <c r="H16" s="91">
        <f>'Calcs Option 4'!K10</f>
        <v>0.29722222222222222</v>
      </c>
      <c r="I16" s="42" t="s">
        <v>37</v>
      </c>
      <c r="J16" s="40"/>
      <c r="K16" s="123">
        <f>K15</f>
        <v>6</v>
      </c>
      <c r="M16" s="110"/>
      <c r="N16" s="110"/>
      <c r="O16" s="110">
        <f>F16-H16</f>
        <v>2.430555555555558E-2</v>
      </c>
    </row>
    <row r="17" spans="2:15" x14ac:dyDescent="0.25">
      <c r="B17" s="129">
        <f>'Calcs Option 4'!B11</f>
        <v>24</v>
      </c>
      <c r="C17" s="129">
        <f>'Calcs Option 4'!C11</f>
        <v>7</v>
      </c>
      <c r="D17" s="38"/>
      <c r="E17" s="41">
        <f>'Calcs Option 4'!C11</f>
        <v>7</v>
      </c>
      <c r="F17" s="89">
        <f>'Calcs Option 4'!F11</f>
        <v>0.26388888888888884</v>
      </c>
      <c r="G17" s="89">
        <f>'Calcs Option 4'!I11</f>
        <v>0.29166666666666663</v>
      </c>
      <c r="H17" s="89">
        <f>'Calcs Option 4'!J11</f>
        <v>0.30069444444444443</v>
      </c>
      <c r="I17" s="43"/>
      <c r="J17" s="125" t="s">
        <v>53</v>
      </c>
      <c r="K17" s="123">
        <f>'Calcs Option 4'!D11</f>
        <v>7</v>
      </c>
      <c r="M17" s="110">
        <f>G17-F17</f>
        <v>2.777777777777779E-2</v>
      </c>
      <c r="N17" s="110">
        <f>H17-G17</f>
        <v>9.0277777777778012E-3</v>
      </c>
    </row>
    <row r="18" spans="2:15" x14ac:dyDescent="0.25">
      <c r="B18" s="129">
        <f>'Calcs Option 4'!B12</f>
        <v>24</v>
      </c>
      <c r="C18" s="129">
        <f>'Calcs Option 4'!C12</f>
        <v>8</v>
      </c>
      <c r="D18" s="38"/>
      <c r="E18" s="41">
        <f>'Calcs Option 4'!C12</f>
        <v>8</v>
      </c>
      <c r="F18" s="89">
        <f>'Calcs Option 4'!F12</f>
        <v>0.27083333333333326</v>
      </c>
      <c r="G18" s="89">
        <f>'Calcs Option 4'!I12</f>
        <v>0.29861111111111105</v>
      </c>
      <c r="H18" s="89">
        <f>'Calcs Option 4'!J12</f>
        <v>0.30763888888888885</v>
      </c>
      <c r="I18" s="43"/>
      <c r="J18" s="39"/>
      <c r="K18" s="123">
        <f>'Calcs Option 4'!D12</f>
        <v>8</v>
      </c>
      <c r="M18" s="110">
        <f>G18-F18</f>
        <v>2.777777777777779E-2</v>
      </c>
      <c r="N18" s="110">
        <f>H18-G18</f>
        <v>9.0277777777778012E-3</v>
      </c>
      <c r="O18" s="111"/>
    </row>
    <row r="19" spans="2:15" x14ac:dyDescent="0.25">
      <c r="B19" s="129"/>
      <c r="C19" s="123" t="s">
        <v>39</v>
      </c>
      <c r="D19" s="121"/>
      <c r="E19" s="42"/>
      <c r="F19" s="90">
        <f>'Calcs Option 4'!L12</f>
        <v>0.33541666666666664</v>
      </c>
      <c r="G19" s="90"/>
      <c r="H19" s="91">
        <f>'Calcs Option 4'!K12</f>
        <v>0.31111111111111106</v>
      </c>
      <c r="I19" s="42" t="s">
        <v>38</v>
      </c>
      <c r="J19" s="40"/>
      <c r="K19" s="123">
        <f>K18</f>
        <v>8</v>
      </c>
      <c r="M19" s="110"/>
      <c r="N19" s="110"/>
      <c r="O19" s="110">
        <f>F19-H19</f>
        <v>2.430555555555558E-2</v>
      </c>
    </row>
    <row r="20" spans="2:15" x14ac:dyDescent="0.25">
      <c r="B20" s="129">
        <f>'Calcs Option 4'!B13</f>
        <v>24</v>
      </c>
      <c r="C20" s="129">
        <f>'Calcs Option 4'!C13</f>
        <v>9</v>
      </c>
      <c r="D20" s="38"/>
      <c r="E20" s="41">
        <f>'Calcs Option 4'!C13</f>
        <v>9</v>
      </c>
      <c r="F20" s="89">
        <f>'Calcs Option 4'!F13</f>
        <v>0.27430555555555547</v>
      </c>
      <c r="G20" s="89">
        <f>'Calcs Option 4'!I13</f>
        <v>0.30208333333333326</v>
      </c>
      <c r="H20" s="89">
        <f>'Calcs Option 4'!J13</f>
        <v>0.31111111111111106</v>
      </c>
      <c r="I20" s="43"/>
      <c r="J20" s="125" t="s">
        <v>53</v>
      </c>
      <c r="K20" s="123">
        <f>'Calcs Option 4'!D13</f>
        <v>9</v>
      </c>
      <c r="M20" s="110">
        <f t="shared" ref="M20:M21" si="0">G20-F20</f>
        <v>2.777777777777779E-2</v>
      </c>
      <c r="N20" s="110">
        <f t="shared" ref="N20:N21" si="1">H20-G20</f>
        <v>9.0277777777778012E-3</v>
      </c>
    </row>
    <row r="21" spans="2:15" x14ac:dyDescent="0.25">
      <c r="B21" s="129">
        <f>'Calcs Option 4'!B14</f>
        <v>24</v>
      </c>
      <c r="C21" s="129">
        <f>'Calcs Option 4'!C14</f>
        <v>10</v>
      </c>
      <c r="D21" s="38"/>
      <c r="E21" s="41">
        <f>'Calcs Option 4'!C14</f>
        <v>10</v>
      </c>
      <c r="F21" s="89">
        <f>'Calcs Option 4'!F14</f>
        <v>0.27777777777777768</v>
      </c>
      <c r="G21" s="89">
        <f>'Calcs Option 4'!I14</f>
        <v>0.30555555555555547</v>
      </c>
      <c r="H21" s="89">
        <f>'Calcs Option 4'!J14</f>
        <v>0.31458333333333327</v>
      </c>
      <c r="I21" s="43"/>
      <c r="J21" s="125" t="s">
        <v>53</v>
      </c>
      <c r="K21" s="123">
        <f>'Calcs Option 4'!D14</f>
        <v>10</v>
      </c>
      <c r="M21" s="110">
        <f t="shared" si="0"/>
        <v>2.777777777777779E-2</v>
      </c>
      <c r="N21" s="110">
        <f t="shared" si="1"/>
        <v>9.0277777777778012E-3</v>
      </c>
    </row>
    <row r="22" spans="2:15" x14ac:dyDescent="0.25">
      <c r="B22" s="129">
        <f>'Calcs Option 4'!B15</f>
        <v>24</v>
      </c>
      <c r="C22" s="129">
        <f>'Calcs Option 4'!C15</f>
        <v>11</v>
      </c>
      <c r="D22" s="38"/>
      <c r="E22" s="41">
        <f>'Calcs Option 4'!C15</f>
        <v>11</v>
      </c>
      <c r="F22" s="89">
        <f>'Calcs Option 4'!F15</f>
        <v>0.28124999999999989</v>
      </c>
      <c r="G22" s="89">
        <f>'Calcs Option 4'!I15</f>
        <v>0.30902777777777768</v>
      </c>
      <c r="H22" s="89">
        <f>'Calcs Option 4'!J15</f>
        <v>0.31805555555555548</v>
      </c>
      <c r="I22" s="43"/>
      <c r="J22" s="39"/>
      <c r="K22" s="123">
        <f>'Calcs Option 4'!D15</f>
        <v>1</v>
      </c>
      <c r="M22" s="110">
        <f>G22-F22</f>
        <v>2.777777777777779E-2</v>
      </c>
      <c r="N22" s="110">
        <f>H22-G22</f>
        <v>9.0277777777778012E-3</v>
      </c>
      <c r="O22" s="111"/>
    </row>
    <row r="23" spans="2:15" x14ac:dyDescent="0.25">
      <c r="B23" s="129"/>
      <c r="C23" s="123" t="s">
        <v>40</v>
      </c>
      <c r="D23" s="121"/>
      <c r="E23" s="42"/>
      <c r="F23" s="90">
        <f>'Calcs Option 4'!L15</f>
        <v>0.34583333333333327</v>
      </c>
      <c r="G23" s="90"/>
      <c r="H23" s="91">
        <f>'Calcs Option 4'!K15</f>
        <v>0.32152777777777769</v>
      </c>
      <c r="I23" s="42" t="s">
        <v>39</v>
      </c>
      <c r="J23" s="40"/>
      <c r="K23" s="123">
        <f>K22</f>
        <v>1</v>
      </c>
      <c r="M23" s="110"/>
      <c r="N23" s="110"/>
      <c r="O23" s="110">
        <f>F23-H23</f>
        <v>2.430555555555558E-2</v>
      </c>
    </row>
    <row r="24" spans="2:15" x14ac:dyDescent="0.25">
      <c r="B24" s="129">
        <f>'Calcs Option 4'!B16</f>
        <v>24</v>
      </c>
      <c r="C24" s="129">
        <f>'Calcs Option 4'!C16</f>
        <v>12</v>
      </c>
      <c r="D24" s="38"/>
      <c r="E24" s="41">
        <f>'Calcs Option 4'!C16</f>
        <v>12</v>
      </c>
      <c r="F24" s="89">
        <f>'Calcs Option 4'!F16</f>
        <v>0.2847222222222221</v>
      </c>
      <c r="G24" s="89">
        <f>'Calcs Option 4'!I16</f>
        <v>0.31249999999999989</v>
      </c>
      <c r="H24" s="89">
        <f>'Calcs Option 4'!J16</f>
        <v>0.32152777777777769</v>
      </c>
      <c r="I24" s="43"/>
      <c r="J24" s="125" t="s">
        <v>53</v>
      </c>
      <c r="K24" s="123">
        <f>'Calcs Option 4'!D16</f>
        <v>11</v>
      </c>
      <c r="M24" s="110">
        <f t="shared" ref="M24:M26" si="2">G24-F24</f>
        <v>2.777777777777779E-2</v>
      </c>
      <c r="N24" s="110">
        <f t="shared" ref="N24:N26" si="3">H24-G24</f>
        <v>9.0277777777778012E-3</v>
      </c>
    </row>
    <row r="25" spans="2:15" x14ac:dyDescent="0.25">
      <c r="B25" s="129">
        <f>'Calcs Option 4'!B17</f>
        <v>24</v>
      </c>
      <c r="C25" s="129">
        <f>'Calcs Option 4'!C17</f>
        <v>13</v>
      </c>
      <c r="D25" s="38"/>
      <c r="E25" s="41">
        <f>'Calcs Option 4'!C17</f>
        <v>13</v>
      </c>
      <c r="F25" s="89">
        <f>'Calcs Option 4'!F17</f>
        <v>0.28819444444444431</v>
      </c>
      <c r="G25" s="89">
        <f>'Calcs Option 4'!I17</f>
        <v>0.3159722222222221</v>
      </c>
      <c r="H25" s="89">
        <f>'Calcs Option 4'!J17</f>
        <v>0.3249999999999999</v>
      </c>
      <c r="I25" s="43"/>
      <c r="J25" s="125" t="s">
        <v>53</v>
      </c>
      <c r="K25" s="123">
        <f>'Calcs Option 4'!D17</f>
        <v>12</v>
      </c>
      <c r="M25" s="110">
        <f t="shared" si="2"/>
        <v>2.777777777777779E-2</v>
      </c>
      <c r="N25" s="110">
        <f t="shared" si="3"/>
        <v>9.0277777777778012E-3</v>
      </c>
    </row>
    <row r="26" spans="2:15" x14ac:dyDescent="0.25">
      <c r="B26" s="130">
        <f>'Calcs Option 4'!B18</f>
        <v>24</v>
      </c>
      <c r="C26" s="130">
        <f>'Calcs Option 4'!C18</f>
        <v>14</v>
      </c>
      <c r="D26" s="74"/>
      <c r="E26" s="75">
        <f>'Calcs Option 4'!C18</f>
        <v>14</v>
      </c>
      <c r="F26" s="92">
        <f>'Calcs Option 4'!F18</f>
        <v>0.29027777777777763</v>
      </c>
      <c r="G26" s="92">
        <f>'Calcs Option 4'!I18</f>
        <v>0.31805555555555542</v>
      </c>
      <c r="H26" s="92">
        <f>'Calcs Option 4'!J18</f>
        <v>0.32708333333333323</v>
      </c>
      <c r="I26" s="76"/>
      <c r="J26" s="125" t="s">
        <v>53</v>
      </c>
      <c r="K26" s="124">
        <f>'Calcs Option 4'!D18</f>
        <v>22</v>
      </c>
      <c r="M26" s="110">
        <f t="shared" si="2"/>
        <v>2.777777777777779E-2</v>
      </c>
      <c r="N26" s="110">
        <f t="shared" si="3"/>
        <v>9.0277777777778012E-3</v>
      </c>
    </row>
    <row r="27" spans="2:15" x14ac:dyDescent="0.25">
      <c r="B27" s="129">
        <f>'Calcs Option 4'!B19</f>
        <v>27</v>
      </c>
      <c r="C27" s="129">
        <f>'Calcs Option 4'!C19</f>
        <v>15</v>
      </c>
      <c r="D27" s="38"/>
      <c r="E27" s="41">
        <f>'Calcs Option 4'!C19</f>
        <v>15</v>
      </c>
      <c r="F27" s="89">
        <f>'Calcs Option 4'!F19</f>
        <v>0.29166666666666652</v>
      </c>
      <c r="G27" s="89">
        <f>'Calcs Option 4'!I19</f>
        <v>0.31944444444444431</v>
      </c>
      <c r="H27" s="89">
        <f>'Calcs Option 4'!J19</f>
        <v>0.32847222222222211</v>
      </c>
      <c r="I27" s="43"/>
      <c r="J27" s="39"/>
      <c r="K27" s="123">
        <f>'Calcs Option 4'!D19</f>
        <v>2</v>
      </c>
      <c r="M27" s="110">
        <f>G27-F27</f>
        <v>2.777777777777779E-2</v>
      </c>
      <c r="N27" s="110">
        <f>H27-G27</f>
        <v>9.0277777777778012E-3</v>
      </c>
      <c r="O27" s="111"/>
    </row>
    <row r="28" spans="2:15" x14ac:dyDescent="0.25">
      <c r="B28" s="129"/>
      <c r="C28" s="129"/>
      <c r="D28" s="121"/>
      <c r="E28" s="42"/>
      <c r="F28" s="90">
        <f>'Calcs Option 4'!L19</f>
        <v>0.3562499999999999</v>
      </c>
      <c r="G28" s="90"/>
      <c r="H28" s="91">
        <f>'Calcs Option 4'!K19</f>
        <v>0.33194444444444432</v>
      </c>
      <c r="I28" s="42" t="s">
        <v>40</v>
      </c>
      <c r="J28" s="40"/>
      <c r="K28" s="123">
        <f>K27</f>
        <v>2</v>
      </c>
      <c r="M28" s="110"/>
      <c r="N28" s="110"/>
      <c r="O28" s="110">
        <f>F28-H28</f>
        <v>2.430555555555558E-2</v>
      </c>
    </row>
    <row r="29" spans="2:15" x14ac:dyDescent="0.25">
      <c r="B29" s="129">
        <f>'Calcs Option 4'!B20</f>
        <v>27</v>
      </c>
      <c r="C29" s="129">
        <f>'Calcs Option 4'!C20</f>
        <v>16</v>
      </c>
      <c r="D29" s="38"/>
      <c r="E29" s="41">
        <f>'Calcs Option 4'!C20</f>
        <v>16</v>
      </c>
      <c r="F29" s="89">
        <f>'Calcs Option 4'!F20</f>
        <v>0.29374999999999984</v>
      </c>
      <c r="G29" s="89">
        <f>'Calcs Option 4'!I20</f>
        <v>0.32152777777777763</v>
      </c>
      <c r="H29" s="89">
        <f>'Calcs Option 4'!J20</f>
        <v>0.33055555555555544</v>
      </c>
      <c r="I29" s="43"/>
      <c r="J29" s="125" t="s">
        <v>53</v>
      </c>
      <c r="K29" s="123">
        <f>'Calcs Option 4'!D20</f>
        <v>13</v>
      </c>
      <c r="M29" s="110">
        <f t="shared" ref="M29:M34" si="4">G29-F29</f>
        <v>2.777777777777779E-2</v>
      </c>
      <c r="N29" s="110">
        <f t="shared" ref="N29:N34" si="5">H29-G29</f>
        <v>9.0277777777778012E-3</v>
      </c>
    </row>
    <row r="30" spans="2:15" x14ac:dyDescent="0.25">
      <c r="B30" s="130">
        <f>'Calcs Option 4'!B21</f>
        <v>24</v>
      </c>
      <c r="C30" s="130">
        <f>'Calcs Option 4'!C21</f>
        <v>17</v>
      </c>
      <c r="D30" s="74"/>
      <c r="E30" s="75">
        <f>'Calcs Option 4'!C21</f>
        <v>17</v>
      </c>
      <c r="F30" s="92">
        <f>'Calcs Option 4'!F21</f>
        <v>0.29583333333333317</v>
      </c>
      <c r="G30" s="92">
        <f>'Calcs Option 4'!I21</f>
        <v>0.32361111111111096</v>
      </c>
      <c r="H30" s="92">
        <f>'Calcs Option 4'!J21</f>
        <v>0.33263888888888876</v>
      </c>
      <c r="I30" s="76"/>
      <c r="J30" s="125" t="s">
        <v>53</v>
      </c>
      <c r="K30" s="124">
        <f>'Calcs Option 4'!D21</f>
        <v>23</v>
      </c>
      <c r="M30" s="110">
        <f t="shared" si="4"/>
        <v>2.777777777777779E-2</v>
      </c>
      <c r="N30" s="110">
        <f t="shared" si="5"/>
        <v>9.0277777777778012E-3</v>
      </c>
    </row>
    <row r="31" spans="2:15" x14ac:dyDescent="0.25">
      <c r="B31" s="129">
        <f>'Calcs Option 4'!B22</f>
        <v>27</v>
      </c>
      <c r="C31" s="129">
        <f>'Calcs Option 4'!C22</f>
        <v>18</v>
      </c>
      <c r="D31" s="38"/>
      <c r="E31" s="41">
        <f>'Calcs Option 4'!C22</f>
        <v>18</v>
      </c>
      <c r="F31" s="89">
        <f>'Calcs Option 4'!F22</f>
        <v>0.29722222222222205</v>
      </c>
      <c r="G31" s="89">
        <f>'Calcs Option 4'!I22</f>
        <v>0.32499999999999984</v>
      </c>
      <c r="H31" s="89">
        <f>'Calcs Option 4'!J22</f>
        <v>0.33402777777777765</v>
      </c>
      <c r="I31" s="43"/>
      <c r="J31" s="125" t="s">
        <v>53</v>
      </c>
      <c r="K31" s="123">
        <f>'Calcs Option 4'!D22</f>
        <v>14</v>
      </c>
      <c r="M31" s="110">
        <f t="shared" si="4"/>
        <v>2.777777777777779E-2</v>
      </c>
      <c r="N31" s="110">
        <f t="shared" si="5"/>
        <v>9.0277777777778012E-3</v>
      </c>
    </row>
    <row r="32" spans="2:15" x14ac:dyDescent="0.25">
      <c r="B32" s="129">
        <f>'Calcs Option 4'!B23</f>
        <v>27</v>
      </c>
      <c r="C32" s="129">
        <f>'Calcs Option 4'!C23</f>
        <v>19</v>
      </c>
      <c r="D32" s="38"/>
      <c r="E32" s="41">
        <f>'Calcs Option 4'!C23</f>
        <v>19</v>
      </c>
      <c r="F32" s="89">
        <f>'Calcs Option 4'!F23</f>
        <v>0.29930555555555538</v>
      </c>
      <c r="G32" s="89">
        <f>'Calcs Option 4'!I23</f>
        <v>0.32708333333333317</v>
      </c>
      <c r="H32" s="89">
        <f>'Calcs Option 4'!J23</f>
        <v>0.33611111111111097</v>
      </c>
      <c r="I32" s="43"/>
      <c r="J32" s="125" t="s">
        <v>53</v>
      </c>
      <c r="K32" s="123">
        <f>'Calcs Option 4'!D23</f>
        <v>15</v>
      </c>
      <c r="M32" s="110">
        <f t="shared" si="4"/>
        <v>2.777777777777779E-2</v>
      </c>
      <c r="N32" s="110">
        <f t="shared" si="5"/>
        <v>9.0277777777778012E-3</v>
      </c>
    </row>
    <row r="33" spans="2:15" x14ac:dyDescent="0.25">
      <c r="B33" s="130">
        <f>'Calcs Option 4'!B24</f>
        <v>24</v>
      </c>
      <c r="C33" s="130">
        <f>'Calcs Option 4'!C24</f>
        <v>20</v>
      </c>
      <c r="D33" s="74"/>
      <c r="E33" s="75">
        <f>'Calcs Option 4'!C24</f>
        <v>20</v>
      </c>
      <c r="F33" s="92">
        <f>'Calcs Option 4'!F24</f>
        <v>0.30138888888888871</v>
      </c>
      <c r="G33" s="92">
        <f>'Calcs Option 4'!I24</f>
        <v>0.3291666666666665</v>
      </c>
      <c r="H33" s="92">
        <f>'Calcs Option 4'!J24</f>
        <v>0.3381944444444443</v>
      </c>
      <c r="I33" s="76"/>
      <c r="J33" s="125" t="s">
        <v>53</v>
      </c>
      <c r="K33" s="124">
        <f>'Calcs Option 4'!D24</f>
        <v>24</v>
      </c>
      <c r="M33" s="110">
        <f t="shared" si="4"/>
        <v>2.777777777777779E-2</v>
      </c>
      <c r="N33" s="110">
        <f t="shared" si="5"/>
        <v>9.0277777777778012E-3</v>
      </c>
    </row>
    <row r="34" spans="2:15" x14ac:dyDescent="0.25">
      <c r="B34" s="129">
        <f>'Calcs Option 4'!B25</f>
        <v>27</v>
      </c>
      <c r="C34" s="129">
        <f>'Calcs Option 4'!C25</f>
        <v>21</v>
      </c>
      <c r="D34" s="38"/>
      <c r="E34" s="41">
        <f>'Calcs Option 4'!C25</f>
        <v>21</v>
      </c>
      <c r="F34" s="89">
        <f>'Calcs Option 4'!F25</f>
        <v>0.30277777777777759</v>
      </c>
      <c r="G34" s="89">
        <f>'Calcs Option 4'!I25</f>
        <v>0.33055555555555538</v>
      </c>
      <c r="H34" s="89">
        <f>'Calcs Option 4'!J25</f>
        <v>0.33958333333333318</v>
      </c>
      <c r="I34" s="43"/>
      <c r="J34" s="125" t="s">
        <v>53</v>
      </c>
      <c r="K34" s="123">
        <f>'Calcs Option 4'!D25</f>
        <v>16</v>
      </c>
      <c r="M34" s="110">
        <f t="shared" si="4"/>
        <v>2.777777777777779E-2</v>
      </c>
      <c r="N34" s="110">
        <f t="shared" si="5"/>
        <v>9.0277777777778012E-3</v>
      </c>
    </row>
    <row r="35" spans="2:15" x14ac:dyDescent="0.25">
      <c r="B35" s="129">
        <f>'Calcs Option 4'!B26</f>
        <v>27</v>
      </c>
      <c r="C35" s="129">
        <f>'Calcs Option 4'!C26</f>
        <v>22</v>
      </c>
      <c r="D35" s="38"/>
      <c r="E35" s="41">
        <f>'Calcs Option 4'!C26</f>
        <v>22</v>
      </c>
      <c r="F35" s="89">
        <f>'Calcs Option 4'!F26</f>
        <v>0.30416666666666647</v>
      </c>
      <c r="G35" s="89">
        <f>'Calcs Option 4'!I26</f>
        <v>0.33194444444444426</v>
      </c>
      <c r="H35" s="89">
        <f>'Calcs Option 4'!J26</f>
        <v>0.34097222222222207</v>
      </c>
      <c r="I35" s="43"/>
      <c r="J35" s="39"/>
      <c r="K35" s="123">
        <f>'Calcs Option 4'!D26</f>
        <v>3</v>
      </c>
      <c r="M35" s="110">
        <f>G35-F35</f>
        <v>2.777777777777779E-2</v>
      </c>
      <c r="N35" s="110">
        <f>H35-G35</f>
        <v>9.0277777777778012E-3</v>
      </c>
      <c r="O35" s="111"/>
    </row>
    <row r="36" spans="2:15" x14ac:dyDescent="0.25">
      <c r="B36" s="129"/>
      <c r="C36" s="123" t="s">
        <v>42</v>
      </c>
      <c r="D36" s="121"/>
      <c r="E36" s="42"/>
      <c r="F36" s="90">
        <f>'Calcs Option 4'!L26</f>
        <v>0.36874999999999986</v>
      </c>
      <c r="G36" s="90"/>
      <c r="H36" s="91">
        <f>'Calcs Option 4'!K26</f>
        <v>0.34444444444444428</v>
      </c>
      <c r="I36" s="42" t="s">
        <v>41</v>
      </c>
      <c r="J36" s="40"/>
      <c r="K36" s="123">
        <f>K35</f>
        <v>3</v>
      </c>
      <c r="M36" s="110"/>
      <c r="N36" s="110"/>
      <c r="O36" s="110">
        <f>F36-H36</f>
        <v>2.430555555555558E-2</v>
      </c>
    </row>
    <row r="37" spans="2:15" x14ac:dyDescent="0.25">
      <c r="B37" s="130">
        <f>'Calcs Option 4'!B27</f>
        <v>24</v>
      </c>
      <c r="C37" s="130">
        <f>'Calcs Option 4'!C27</f>
        <v>23</v>
      </c>
      <c r="D37" s="74"/>
      <c r="E37" s="75">
        <f>'Calcs Option 4'!C27</f>
        <v>23</v>
      </c>
      <c r="F37" s="92">
        <f>'Calcs Option 4'!F27</f>
        <v>0.30555555555555536</v>
      </c>
      <c r="G37" s="92">
        <f>'Calcs Option 4'!I27</f>
        <v>0.33333333333333315</v>
      </c>
      <c r="H37" s="92">
        <f>'Calcs Option 4'!J27</f>
        <v>0.34236111111111095</v>
      </c>
      <c r="I37" s="76"/>
      <c r="J37" s="125" t="s">
        <v>53</v>
      </c>
      <c r="K37" s="124">
        <f>'Calcs Option 4'!D27</f>
        <v>25</v>
      </c>
      <c r="M37" s="110">
        <f t="shared" ref="M37:M40" si="6">G37-F37</f>
        <v>2.777777777777779E-2</v>
      </c>
      <c r="N37" s="110">
        <f t="shared" ref="N37:N40" si="7">H37-G37</f>
        <v>9.0277777777778012E-3</v>
      </c>
    </row>
    <row r="38" spans="2:15" x14ac:dyDescent="0.25">
      <c r="B38" s="129">
        <f>'Calcs Option 4'!B28</f>
        <v>27</v>
      </c>
      <c r="C38" s="129">
        <f>'Calcs Option 4'!C28</f>
        <v>24</v>
      </c>
      <c r="D38" s="38"/>
      <c r="E38" s="41">
        <f>'Calcs Option 4'!C28</f>
        <v>24</v>
      </c>
      <c r="F38" s="89">
        <f>'Calcs Option 4'!F28</f>
        <v>0.30694444444444424</v>
      </c>
      <c r="G38" s="89">
        <f>'Calcs Option 4'!I28</f>
        <v>0.33472222222222203</v>
      </c>
      <c r="H38" s="89">
        <f>'Calcs Option 4'!J28</f>
        <v>0.34374999999999983</v>
      </c>
      <c r="I38" s="38"/>
      <c r="J38" s="125" t="s">
        <v>53</v>
      </c>
      <c r="K38" s="123">
        <f>'Calcs Option 4'!D28</f>
        <v>17</v>
      </c>
      <c r="M38" s="110">
        <f t="shared" si="6"/>
        <v>2.777777777777779E-2</v>
      </c>
      <c r="N38" s="110">
        <f t="shared" si="7"/>
        <v>9.0277777777778012E-3</v>
      </c>
    </row>
    <row r="39" spans="2:15" x14ac:dyDescent="0.25">
      <c r="B39" s="129">
        <f>'Calcs Option 4'!B29</f>
        <v>27</v>
      </c>
      <c r="C39" s="129">
        <f>'Calcs Option 4'!C29</f>
        <v>25</v>
      </c>
      <c r="D39" s="38"/>
      <c r="E39" s="41">
        <f>'Calcs Option 4'!C29</f>
        <v>25</v>
      </c>
      <c r="F39" s="89">
        <f>'Calcs Option 4'!F29</f>
        <v>0.30972222222222201</v>
      </c>
      <c r="G39" s="89">
        <f>'Calcs Option 4'!I29</f>
        <v>0.3374999999999998</v>
      </c>
      <c r="H39" s="89">
        <f>'Calcs Option 4'!J29</f>
        <v>0.3465277777777776</v>
      </c>
      <c r="I39" s="38"/>
      <c r="J39" s="125" t="s">
        <v>53</v>
      </c>
      <c r="K39" s="123">
        <f>'Calcs Option 4'!D29</f>
        <v>18</v>
      </c>
      <c r="M39" s="110">
        <f t="shared" si="6"/>
        <v>2.777777777777779E-2</v>
      </c>
      <c r="N39" s="110">
        <f t="shared" si="7"/>
        <v>9.0277777777778012E-3</v>
      </c>
    </row>
    <row r="40" spans="2:15" x14ac:dyDescent="0.25">
      <c r="B40" s="130">
        <f>'Calcs Option 4'!B30</f>
        <v>24</v>
      </c>
      <c r="C40" s="130">
        <f>'Calcs Option 4'!C30</f>
        <v>26</v>
      </c>
      <c r="D40" s="74"/>
      <c r="E40" s="75">
        <f>'Calcs Option 4'!C30</f>
        <v>26</v>
      </c>
      <c r="F40" s="92">
        <f>'Calcs Option 4'!F30</f>
        <v>0.31180555555555534</v>
      </c>
      <c r="G40" s="92">
        <f>'Calcs Option 4'!I30</f>
        <v>0.33958333333333313</v>
      </c>
      <c r="H40" s="92">
        <f>'Calcs Option 4'!J30</f>
        <v>0.34861111111111093</v>
      </c>
      <c r="I40" s="76"/>
      <c r="J40" s="125" t="s">
        <v>53</v>
      </c>
      <c r="K40" s="124">
        <f>'Calcs Option 4'!D30</f>
        <v>26</v>
      </c>
      <c r="M40" s="110">
        <f t="shared" si="6"/>
        <v>2.777777777777779E-2</v>
      </c>
      <c r="N40" s="110">
        <f t="shared" si="7"/>
        <v>9.0277777777778012E-3</v>
      </c>
    </row>
    <row r="41" spans="2:15" x14ac:dyDescent="0.25">
      <c r="B41" s="129">
        <f>'Calcs Option 4'!B31</f>
        <v>27</v>
      </c>
      <c r="C41" s="129">
        <f>'Calcs Option 4'!C31</f>
        <v>27</v>
      </c>
      <c r="D41" s="38"/>
      <c r="E41" s="41">
        <f>'Calcs Option 4'!C31</f>
        <v>27</v>
      </c>
      <c r="F41" s="89">
        <f>'Calcs Option 4'!F31</f>
        <v>0.31319444444444422</v>
      </c>
      <c r="G41" s="89">
        <f>'Calcs Option 4'!I31</f>
        <v>0.34097222222222201</v>
      </c>
      <c r="H41" s="89">
        <f>'Calcs Option 4'!J31</f>
        <v>0.34999999999999981</v>
      </c>
      <c r="I41" s="38"/>
      <c r="J41" s="39"/>
      <c r="K41" s="123">
        <f>'Calcs Option 4'!D31</f>
        <v>4</v>
      </c>
      <c r="L41" s="2"/>
      <c r="M41" s="110">
        <f>G41-F41</f>
        <v>2.777777777777779E-2</v>
      </c>
      <c r="N41" s="110">
        <f>H41-G41</f>
        <v>9.0277777777778012E-3</v>
      </c>
      <c r="O41" s="111"/>
    </row>
    <row r="42" spans="2:15" x14ac:dyDescent="0.25">
      <c r="B42" s="129"/>
      <c r="C42" s="123" t="s">
        <v>43</v>
      </c>
      <c r="D42" s="125" t="s">
        <v>53</v>
      </c>
      <c r="E42" s="42"/>
      <c r="F42" s="90">
        <f>'Calcs Option 4'!L31</f>
        <v>0.3777777777777776</v>
      </c>
      <c r="G42" s="90"/>
      <c r="H42" s="91">
        <f>'Calcs Option 4'!K31</f>
        <v>0.35347222222222202</v>
      </c>
      <c r="I42" s="42" t="s">
        <v>42</v>
      </c>
      <c r="J42" s="40"/>
      <c r="K42" s="123">
        <f>K41</f>
        <v>4</v>
      </c>
      <c r="M42" s="110"/>
      <c r="N42" s="110"/>
      <c r="O42" s="110">
        <f>F42-H42</f>
        <v>2.430555555555558E-2</v>
      </c>
    </row>
    <row r="43" spans="2:15" x14ac:dyDescent="0.25">
      <c r="B43" s="129">
        <f>'Calcs Option 4'!B32</f>
        <v>27</v>
      </c>
      <c r="C43" s="129">
        <f>'Calcs Option 4'!C32</f>
        <v>28</v>
      </c>
      <c r="D43" s="38"/>
      <c r="E43" s="41">
        <f>'Calcs Option 4'!C32</f>
        <v>28</v>
      </c>
      <c r="F43" s="89">
        <f>'Calcs Option 4'!F32</f>
        <v>0.31666666666666643</v>
      </c>
      <c r="G43" s="89">
        <f>'Calcs Option 4'!I32</f>
        <v>0.34444444444444422</v>
      </c>
      <c r="H43" s="89">
        <f>'Calcs Option 4'!J32</f>
        <v>0.35347222222222202</v>
      </c>
      <c r="I43" s="38"/>
      <c r="J43" s="125" t="s">
        <v>53</v>
      </c>
      <c r="K43" s="123">
        <f>'Calcs Option 4'!D32</f>
        <v>19</v>
      </c>
      <c r="M43" s="110">
        <f t="shared" ref="M43:M46" si="8">G43-F43</f>
        <v>2.777777777777779E-2</v>
      </c>
      <c r="N43" s="110">
        <f t="shared" ref="N43:N46" si="9">H43-G43</f>
        <v>9.0277777777778012E-3</v>
      </c>
    </row>
    <row r="44" spans="2:15" x14ac:dyDescent="0.25">
      <c r="B44" s="130">
        <f>'Calcs Option 4'!B33</f>
        <v>27</v>
      </c>
      <c r="C44" s="130">
        <f>'Calcs Option 4'!C33</f>
        <v>29</v>
      </c>
      <c r="D44" s="38"/>
      <c r="E44" s="41">
        <f>'Calcs Option 4'!C33</f>
        <v>29</v>
      </c>
      <c r="F44" s="89">
        <f>'Calcs Option 4'!F33</f>
        <v>0.31874999999999976</v>
      </c>
      <c r="G44" s="89">
        <f>'Calcs Option 4'!I33</f>
        <v>0.34652777777777755</v>
      </c>
      <c r="H44" s="89">
        <f>'Calcs Option 4'!J33</f>
        <v>0.35555555555555535</v>
      </c>
      <c r="I44" s="38"/>
      <c r="J44" s="125" t="s">
        <v>53</v>
      </c>
      <c r="K44" s="123">
        <f>'Calcs Option 4'!D33</f>
        <v>20</v>
      </c>
      <c r="M44" s="110">
        <f t="shared" si="8"/>
        <v>2.777777777777779E-2</v>
      </c>
      <c r="N44" s="110">
        <f t="shared" si="9"/>
        <v>9.0277777777778012E-3</v>
      </c>
    </row>
    <row r="45" spans="2:15" x14ac:dyDescent="0.25">
      <c r="B45" s="129">
        <f>'Calcs Option 4'!B34</f>
        <v>24</v>
      </c>
      <c r="C45" s="129">
        <f>'Calcs Option 4'!C34</f>
        <v>30</v>
      </c>
      <c r="D45" s="74"/>
      <c r="E45" s="75">
        <f>'Calcs Option 4'!C34</f>
        <v>30</v>
      </c>
      <c r="F45" s="92">
        <f>'Calcs Option 4'!F34</f>
        <v>0.32013888888888864</v>
      </c>
      <c r="G45" s="92">
        <f>'Calcs Option 4'!I34</f>
        <v>0.34791666666666643</v>
      </c>
      <c r="H45" s="92">
        <f>'Calcs Option 4'!J34</f>
        <v>0.35694444444444423</v>
      </c>
      <c r="I45" s="76"/>
      <c r="J45" s="125" t="s">
        <v>53</v>
      </c>
      <c r="K45" s="124">
        <f>'Calcs Option 4'!D34</f>
        <v>27</v>
      </c>
      <c r="M45" s="110">
        <f t="shared" si="8"/>
        <v>2.777777777777779E-2</v>
      </c>
      <c r="N45" s="110">
        <f t="shared" si="9"/>
        <v>9.0277777777778012E-3</v>
      </c>
    </row>
    <row r="46" spans="2:15" x14ac:dyDescent="0.25">
      <c r="B46" s="129">
        <f>'Calcs Option 4'!B35</f>
        <v>27</v>
      </c>
      <c r="C46" s="129">
        <f>'Calcs Option 4'!C35</f>
        <v>31</v>
      </c>
      <c r="D46" s="38"/>
      <c r="E46" s="41">
        <f>'Calcs Option 4'!C35</f>
        <v>31</v>
      </c>
      <c r="F46" s="89">
        <f>'Calcs Option 4'!F35</f>
        <v>0.32222222222222197</v>
      </c>
      <c r="G46" s="89">
        <f>'Calcs Option 4'!I35</f>
        <v>0.34999999999999976</v>
      </c>
      <c r="H46" s="89">
        <f>'Calcs Option 4'!J35</f>
        <v>0.35902777777777756</v>
      </c>
      <c r="I46" s="38"/>
      <c r="J46" s="39"/>
      <c r="K46" s="123">
        <f>'Calcs Option 4'!D35</f>
        <v>5</v>
      </c>
      <c r="M46" s="110">
        <f t="shared" si="8"/>
        <v>2.777777777777779E-2</v>
      </c>
      <c r="N46" s="110">
        <f t="shared" si="9"/>
        <v>9.0277777777778012E-3</v>
      </c>
    </row>
    <row r="47" spans="2:15" x14ac:dyDescent="0.25">
      <c r="B47" s="129"/>
      <c r="C47" s="129"/>
      <c r="D47" s="125" t="s">
        <v>72</v>
      </c>
      <c r="E47" s="42"/>
      <c r="F47" s="90">
        <f>'Calcs Option 4'!L36</f>
        <v>0.38888888888888867</v>
      </c>
      <c r="G47" s="90"/>
      <c r="H47" s="91">
        <f>'Calcs Option 4'!K36</f>
        <v>0.36458333333333309</v>
      </c>
      <c r="I47" s="42" t="s">
        <v>43</v>
      </c>
      <c r="J47" s="40"/>
      <c r="K47" s="123">
        <f>K46</f>
        <v>5</v>
      </c>
      <c r="M47" s="110"/>
      <c r="N47" s="110"/>
      <c r="O47" s="110">
        <f>F47-H47</f>
        <v>2.430555555555558E-2</v>
      </c>
    </row>
    <row r="48" spans="2:15" x14ac:dyDescent="0.25">
      <c r="B48" s="129">
        <f>'Calcs Option 4'!B36</f>
        <v>24</v>
      </c>
      <c r="C48" s="129">
        <f>'Calcs Option 4'!C36</f>
        <v>32</v>
      </c>
      <c r="D48" s="74"/>
      <c r="E48" s="75">
        <f>'Calcs Option 4'!C36</f>
        <v>32</v>
      </c>
      <c r="F48" s="92">
        <f>'Calcs Option 4'!F36</f>
        <v>0.32430555555555529</v>
      </c>
      <c r="G48" s="92">
        <f>'Calcs Option 4'!I36</f>
        <v>0.35208333333333308</v>
      </c>
      <c r="H48" s="92">
        <f>'Calcs Option 4'!J36</f>
        <v>0.36111111111111088</v>
      </c>
      <c r="I48" s="76"/>
      <c r="J48" s="125" t="s">
        <v>53</v>
      </c>
      <c r="K48" s="124">
        <f>'Calcs Option 4'!D36</f>
        <v>28</v>
      </c>
      <c r="M48" s="110">
        <f>G48-F48</f>
        <v>2.777777777777779E-2</v>
      </c>
      <c r="N48" s="110">
        <f>H48-G48</f>
        <v>9.0277777777778012E-3</v>
      </c>
      <c r="O48" s="111"/>
    </row>
    <row r="49" spans="2:15" x14ac:dyDescent="0.25">
      <c r="B49" s="130">
        <f>'Calcs Option 4'!B37</f>
        <v>24</v>
      </c>
      <c r="C49" s="130">
        <f>'Calcs Option 4'!C37</f>
        <v>33</v>
      </c>
      <c r="D49" s="38"/>
      <c r="E49" s="41">
        <f>'Calcs Option 4'!C37</f>
        <v>33</v>
      </c>
      <c r="F49" s="89">
        <f>'Calcs Option 4'!F37</f>
        <v>0.32638888888888862</v>
      </c>
      <c r="G49" s="89">
        <f>'Calcs Option 4'!I37</f>
        <v>0.35416666666666641</v>
      </c>
      <c r="H49" s="89">
        <f>'Calcs Option 4'!J37</f>
        <v>0.36319444444444421</v>
      </c>
      <c r="I49" s="38"/>
      <c r="J49" s="125" t="s">
        <v>53</v>
      </c>
      <c r="K49" s="123">
        <f>'Calcs Option 4'!D37</f>
        <v>21</v>
      </c>
      <c r="M49" s="110">
        <f t="shared" ref="M49:M51" si="10">G49-F49</f>
        <v>2.777777777777779E-2</v>
      </c>
      <c r="N49" s="110">
        <f t="shared" ref="N49:N51" si="11">H49-G49</f>
        <v>9.0277777777778012E-3</v>
      </c>
    </row>
    <row r="50" spans="2:15" x14ac:dyDescent="0.25">
      <c r="B50" s="129">
        <f>'Calcs Option 4'!B38</f>
        <v>24</v>
      </c>
      <c r="C50" s="129">
        <f>'Calcs Option 4'!C38</f>
        <v>34</v>
      </c>
      <c r="D50" s="38"/>
      <c r="E50" s="41">
        <f>'Calcs Option 4'!C38</f>
        <v>34</v>
      </c>
      <c r="F50" s="89">
        <f>'Calcs Option 4'!F38</f>
        <v>0.33333333333333304</v>
      </c>
      <c r="G50" s="89">
        <f>'Calcs Option 4'!I38</f>
        <v>0.36111111111111083</v>
      </c>
      <c r="H50" s="89">
        <f>'Calcs Option 4'!J38</f>
        <v>0.37013888888888863</v>
      </c>
      <c r="I50" s="38"/>
      <c r="J50" s="125" t="s">
        <v>53</v>
      </c>
      <c r="K50" s="123">
        <f>'Calcs Option 4'!D38</f>
        <v>6</v>
      </c>
      <c r="M50" s="110">
        <f t="shared" si="10"/>
        <v>2.777777777777779E-2</v>
      </c>
      <c r="N50" s="110">
        <f t="shared" si="11"/>
        <v>9.0277777777778012E-3</v>
      </c>
    </row>
    <row r="51" spans="2:15" x14ac:dyDescent="0.25">
      <c r="B51" s="129">
        <f>'Calcs Option 4'!B39</f>
        <v>24</v>
      </c>
      <c r="C51" s="129">
        <f>'Calcs Option 4'!C39</f>
        <v>35</v>
      </c>
      <c r="D51" s="38"/>
      <c r="E51" s="41">
        <f>'Calcs Option 4'!C39</f>
        <v>35</v>
      </c>
      <c r="F51" s="89">
        <f>'Calcs Option 4'!F39</f>
        <v>0.34374999999999972</v>
      </c>
      <c r="G51" s="89">
        <f>'Calcs Option 4'!I39</f>
        <v>0.37152777777777751</v>
      </c>
      <c r="H51" s="89">
        <f>'Calcs Option 4'!J39</f>
        <v>0.38055555555555531</v>
      </c>
      <c r="I51" s="38"/>
      <c r="J51" s="39"/>
      <c r="K51" s="123">
        <f>'Calcs Option 4'!D39</f>
        <v>8</v>
      </c>
      <c r="M51" s="110">
        <f t="shared" si="10"/>
        <v>2.777777777777779E-2</v>
      </c>
      <c r="N51" s="110">
        <f t="shared" si="11"/>
        <v>9.0277777777778012E-3</v>
      </c>
    </row>
    <row r="52" spans="2:15" x14ac:dyDescent="0.25">
      <c r="B52" s="129"/>
      <c r="C52" s="129"/>
      <c r="D52" s="121" t="s">
        <v>51</v>
      </c>
      <c r="E52" s="42"/>
      <c r="F52" s="90">
        <f>'Calcs Option 4'!L39</f>
        <v>0.4083333333333331</v>
      </c>
      <c r="G52" s="90"/>
      <c r="H52" s="91">
        <f>'Calcs Option 4'!K39</f>
        <v>0.38402777777777752</v>
      </c>
      <c r="I52" s="42" t="s">
        <v>45</v>
      </c>
      <c r="J52" s="40"/>
      <c r="K52" s="123">
        <f>K51</f>
        <v>8</v>
      </c>
      <c r="M52" s="110"/>
      <c r="N52" s="110"/>
      <c r="O52" s="110">
        <f>F52-H52</f>
        <v>2.430555555555558E-2</v>
      </c>
    </row>
    <row r="53" spans="2:15" x14ac:dyDescent="0.25">
      <c r="B53" s="129">
        <f>'Calcs Option 4'!B40</f>
        <v>12</v>
      </c>
      <c r="C53" s="129">
        <f>'Calcs Option 4'!C40</f>
        <v>36</v>
      </c>
      <c r="D53" s="38"/>
      <c r="E53" s="41">
        <f>'Calcs Option 4'!C40</f>
        <v>36</v>
      </c>
      <c r="F53" s="89">
        <f>'Calcs Option 4'!F40</f>
        <v>0.35416666666666641</v>
      </c>
      <c r="G53" s="89">
        <f>'Calcs Option 4'!I40</f>
        <v>0.3819444444444442</v>
      </c>
      <c r="H53" s="89">
        <f>'Calcs Option 4'!J40</f>
        <v>0.390972222222222</v>
      </c>
      <c r="I53" s="38"/>
      <c r="J53" s="125" t="s">
        <v>72</v>
      </c>
      <c r="K53" s="123">
        <f>'Calcs Option 4'!D40</f>
        <v>1</v>
      </c>
      <c r="M53" s="110">
        <f>G53-F53</f>
        <v>2.777777777777779E-2</v>
      </c>
      <c r="N53" s="110">
        <f>H53-G53</f>
        <v>9.0277777777778012E-3</v>
      </c>
      <c r="O53" s="111"/>
    </row>
    <row r="54" spans="2:15" x14ac:dyDescent="0.25">
      <c r="B54" s="129">
        <f>'Calcs Option 4'!B41</f>
        <v>12</v>
      </c>
      <c r="C54" s="129">
        <f>'Calcs Option 4'!C41</f>
        <v>37</v>
      </c>
      <c r="D54" s="38"/>
      <c r="E54" s="41">
        <f>'Calcs Option 4'!C41</f>
        <v>37</v>
      </c>
      <c r="F54" s="89">
        <f>'Calcs Option 4'!F41</f>
        <v>0.36458333333333309</v>
      </c>
      <c r="G54" s="89">
        <f>'Calcs Option 4'!I41</f>
        <v>0.39236111111111088</v>
      </c>
      <c r="H54" s="89">
        <f>'Calcs Option 4'!J41</f>
        <v>0.40138888888888868</v>
      </c>
      <c r="I54" s="38"/>
      <c r="J54" s="125" t="s">
        <v>72</v>
      </c>
      <c r="K54" s="123">
        <f>'Calcs Option 4'!D41</f>
        <v>2</v>
      </c>
      <c r="L54" s="2"/>
      <c r="M54" s="110">
        <f t="shared" ref="M54:M55" si="12">G54-F54</f>
        <v>2.777777777777779E-2</v>
      </c>
      <c r="N54" s="110">
        <f t="shared" ref="N54:N55" si="13">H54-G54</f>
        <v>9.0277777777778012E-3</v>
      </c>
    </row>
    <row r="55" spans="2:15" x14ac:dyDescent="0.25">
      <c r="B55" s="129">
        <f>'Calcs Option 4'!B42</f>
        <v>12</v>
      </c>
      <c r="C55" s="129">
        <f>'Calcs Option 4'!C42</f>
        <v>38</v>
      </c>
      <c r="D55" s="38"/>
      <c r="E55" s="41">
        <f>'Calcs Option 4'!C42</f>
        <v>38</v>
      </c>
      <c r="F55" s="89">
        <f>'Calcs Option 4'!F42</f>
        <v>0.37499999999999978</v>
      </c>
      <c r="G55" s="89">
        <f>'Calcs Option 4'!I42</f>
        <v>0.40277777777777757</v>
      </c>
      <c r="H55" s="89">
        <f>'Calcs Option 4'!J42</f>
        <v>0.41180555555555537</v>
      </c>
      <c r="I55" s="38"/>
      <c r="J55" s="125" t="s">
        <v>72</v>
      </c>
      <c r="K55" s="123">
        <f>'Calcs Option 4'!D42</f>
        <v>3</v>
      </c>
      <c r="L55" s="2"/>
      <c r="M55" s="110">
        <f t="shared" si="12"/>
        <v>2.777777777777779E-2</v>
      </c>
      <c r="N55" s="110">
        <f t="shared" si="13"/>
        <v>9.0277777777778012E-3</v>
      </c>
    </row>
    <row r="56" spans="2:15" hidden="1" x14ac:dyDescent="0.25">
      <c r="B56" s="123"/>
      <c r="C56" s="120"/>
      <c r="F56" s="81"/>
      <c r="G56" s="81"/>
      <c r="H56" s="81"/>
      <c r="K56" s="120"/>
    </row>
    <row r="57" spans="2:15" hidden="1" x14ac:dyDescent="0.25">
      <c r="B57" s="123"/>
      <c r="C57" s="120"/>
      <c r="F57" s="81"/>
      <c r="G57" s="81"/>
      <c r="H57" s="81"/>
      <c r="K57" s="120"/>
    </row>
    <row r="58" spans="2:15" hidden="1" x14ac:dyDescent="0.25">
      <c r="B58" s="123"/>
      <c r="C58" s="120"/>
      <c r="F58" s="81"/>
      <c r="G58" s="81"/>
      <c r="H58" s="81"/>
      <c r="K58" s="120"/>
    </row>
    <row r="59" spans="2:15" x14ac:dyDescent="0.25">
      <c r="B59" s="131">
        <f>SUM(B5:B55)</f>
        <v>876</v>
      </c>
      <c r="C59" s="127"/>
      <c r="D59" s="127" t="s">
        <v>69</v>
      </c>
      <c r="E59" s="120"/>
      <c r="F59" s="133"/>
      <c r="G59" s="133"/>
      <c r="H59" s="133"/>
      <c r="I59" s="120"/>
      <c r="J59" s="120"/>
      <c r="K59" s="120"/>
    </row>
    <row r="60" spans="2:15" ht="15.75" x14ac:dyDescent="0.25">
      <c r="B60" s="119" t="s">
        <v>28</v>
      </c>
      <c r="C60" s="120"/>
      <c r="D60" s="120"/>
      <c r="E60" s="120"/>
      <c r="F60" s="133"/>
      <c r="G60" s="133"/>
      <c r="H60" s="133"/>
      <c r="I60" s="120"/>
      <c r="J60" s="120"/>
      <c r="K60" s="120"/>
    </row>
    <row r="61" spans="2:15" ht="51.75" x14ac:dyDescent="0.25">
      <c r="B61" s="121" t="s">
        <v>55</v>
      </c>
      <c r="C61" s="120"/>
      <c r="D61" s="121" t="s">
        <v>76</v>
      </c>
      <c r="E61" s="121" t="s">
        <v>44</v>
      </c>
      <c r="F61" s="122" t="s">
        <v>77</v>
      </c>
      <c r="G61" s="122" t="s">
        <v>30</v>
      </c>
      <c r="H61" s="122" t="s">
        <v>31</v>
      </c>
      <c r="I61" s="121" t="s">
        <v>50</v>
      </c>
      <c r="J61" s="121" t="s">
        <v>75</v>
      </c>
      <c r="K61" s="121" t="s">
        <v>0</v>
      </c>
    </row>
    <row r="62" spans="2:15" x14ac:dyDescent="0.25">
      <c r="B62" s="123">
        <f>'Calcs Option 4'!B49</f>
        <v>6</v>
      </c>
      <c r="C62" s="123">
        <f>'Calcs Option 4'!C49</f>
        <v>32</v>
      </c>
      <c r="D62" s="38"/>
      <c r="E62" s="41">
        <f>'Calcs Option 4'!C49</f>
        <v>32</v>
      </c>
      <c r="F62" s="89">
        <f>'Calcs Option 4'!F49</f>
        <v>0.41666666666666669</v>
      </c>
      <c r="G62" s="89">
        <f>'Calcs Option 4'!I49</f>
        <v>0.44097222222222227</v>
      </c>
      <c r="H62" s="89">
        <f>'Calcs Option 4'!J49</f>
        <v>0.45000000000000007</v>
      </c>
      <c r="I62" s="38"/>
      <c r="J62" s="39"/>
      <c r="K62" s="123">
        <f>'Calcs Option 4'!$D$49</f>
        <v>8</v>
      </c>
      <c r="M62" s="110">
        <f>G62-F62</f>
        <v>2.430555555555558E-2</v>
      </c>
      <c r="N62" s="110">
        <f>H62-G62</f>
        <v>9.0277777777778012E-3</v>
      </c>
      <c r="O62" s="111"/>
    </row>
    <row r="63" spans="2:15" x14ac:dyDescent="0.25">
      <c r="B63" s="123"/>
      <c r="C63" s="123" t="s">
        <v>46</v>
      </c>
      <c r="D63" s="121"/>
      <c r="E63" s="42"/>
      <c r="F63" s="90">
        <f>'Calcs Option 4'!L49</f>
        <v>0.47777777777777786</v>
      </c>
      <c r="G63" s="90"/>
      <c r="H63" s="91">
        <f>'Calcs Option 4'!K49</f>
        <v>0.45347222222222228</v>
      </c>
      <c r="I63" s="42" t="s">
        <v>46</v>
      </c>
      <c r="J63" s="40"/>
      <c r="K63" s="123">
        <f>'Calcs Option 4'!$D$49</f>
        <v>8</v>
      </c>
      <c r="M63" s="110"/>
      <c r="N63" s="110"/>
      <c r="O63" s="110">
        <f>F63-H63</f>
        <v>2.430555555555558E-2</v>
      </c>
    </row>
    <row r="64" spans="2:15" x14ac:dyDescent="0.25">
      <c r="B64" s="123">
        <f>'Calcs Option 4'!B50</f>
        <v>6</v>
      </c>
      <c r="C64" s="123">
        <f>'Calcs Option 4'!C50</f>
        <v>33</v>
      </c>
      <c r="D64" s="38"/>
      <c r="E64" s="41">
        <f>'Calcs Option 4'!C50</f>
        <v>33</v>
      </c>
      <c r="F64" s="89">
        <f>'Calcs Option 4'!F50</f>
        <v>0.5</v>
      </c>
      <c r="G64" s="89">
        <f>'Calcs Option 4'!I50</f>
        <v>0.52430555555555558</v>
      </c>
      <c r="H64" s="89">
        <f>'Calcs Option 4'!J50</f>
        <v>0.53333333333333333</v>
      </c>
      <c r="I64" s="38"/>
      <c r="J64" s="39"/>
      <c r="K64" s="123">
        <f>'Calcs Option 4'!$D$49</f>
        <v>8</v>
      </c>
      <c r="M64" s="110">
        <f>G64-F64</f>
        <v>2.430555555555558E-2</v>
      </c>
      <c r="N64" s="110">
        <f>H64-G64</f>
        <v>9.0277777777777457E-3</v>
      </c>
      <c r="O64" s="111"/>
    </row>
    <row r="65" spans="2:15" x14ac:dyDescent="0.25">
      <c r="B65" s="123"/>
      <c r="C65" s="123" t="s">
        <v>47</v>
      </c>
      <c r="D65" s="121"/>
      <c r="E65" s="42"/>
      <c r="F65" s="90">
        <f>'Calcs Option 4'!L50</f>
        <v>0.56111111111111112</v>
      </c>
      <c r="G65" s="90"/>
      <c r="H65" s="91">
        <f>'Calcs Option 4'!K50</f>
        <v>0.53680555555555554</v>
      </c>
      <c r="I65" s="42" t="s">
        <v>47</v>
      </c>
      <c r="J65" s="40"/>
      <c r="K65" s="123">
        <f>'Calcs Option 4'!$D$49</f>
        <v>8</v>
      </c>
      <c r="M65" s="110"/>
      <c r="N65" s="110"/>
      <c r="O65" s="110">
        <f>F65-H65</f>
        <v>2.430555555555558E-2</v>
      </c>
    </row>
    <row r="66" spans="2:15" x14ac:dyDescent="0.25">
      <c r="B66" s="123">
        <f>'Calcs Option 4'!B51</f>
        <v>10</v>
      </c>
      <c r="C66" s="123">
        <f>'Calcs Option 4'!C51</f>
        <v>34</v>
      </c>
      <c r="D66" s="38"/>
      <c r="E66" s="41">
        <f>C66</f>
        <v>34</v>
      </c>
      <c r="F66" s="89">
        <f>'Calcs Option 4'!F51</f>
        <v>0.58333333333333337</v>
      </c>
      <c r="G66" s="89">
        <f>'Calcs Option 4'!I51</f>
        <v>0.60763888888888895</v>
      </c>
      <c r="H66" s="89">
        <f>'Calcs Option 4'!J51</f>
        <v>0.6166666666666667</v>
      </c>
      <c r="I66" s="38"/>
      <c r="J66" s="39"/>
      <c r="K66" s="123">
        <f>'Calcs Option 4'!$D$49</f>
        <v>8</v>
      </c>
      <c r="M66" s="110">
        <f>G66-F66</f>
        <v>2.430555555555558E-2</v>
      </c>
      <c r="N66" s="110">
        <f>H66-G66</f>
        <v>9.0277777777777457E-3</v>
      </c>
      <c r="O66" s="111"/>
    </row>
    <row r="67" spans="2:15" x14ac:dyDescent="0.25">
      <c r="B67" s="123"/>
      <c r="C67" s="123" t="s">
        <v>54</v>
      </c>
      <c r="D67" s="125" t="s">
        <v>53</v>
      </c>
      <c r="E67" s="42"/>
      <c r="F67" s="90">
        <f>'Calcs Option 4'!L51</f>
        <v>0.64444444444444449</v>
      </c>
      <c r="G67" s="90"/>
      <c r="H67" s="91">
        <f>'Calcs Option 4'!K51</f>
        <v>0.62013888888888891</v>
      </c>
      <c r="I67" s="42" t="s">
        <v>54</v>
      </c>
      <c r="J67" s="40"/>
      <c r="K67" s="123">
        <f>'Calcs Option 4'!$D$49</f>
        <v>8</v>
      </c>
      <c r="M67" s="110"/>
      <c r="N67" s="110"/>
      <c r="O67" s="110">
        <f>F67-H67</f>
        <v>2.430555555555558E-2</v>
      </c>
    </row>
    <row r="68" spans="2:15" hidden="1" x14ac:dyDescent="0.25">
      <c r="B68" s="123"/>
      <c r="C68" s="123" t="e">
        <f>#REF!</f>
        <v>#REF!</v>
      </c>
      <c r="D68" s="38"/>
      <c r="E68" s="41" t="e">
        <f>C68</f>
        <v>#REF!</v>
      </c>
      <c r="F68" s="89" t="e">
        <f>#REF!</f>
        <v>#REF!</v>
      </c>
      <c r="G68" s="89" t="e">
        <f>#REF!</f>
        <v>#REF!</v>
      </c>
      <c r="H68" s="89" t="e">
        <f>#REF!</f>
        <v>#REF!</v>
      </c>
      <c r="I68" s="38"/>
      <c r="J68" s="44" t="s">
        <v>53</v>
      </c>
      <c r="K68" s="123">
        <f t="shared" ref="K68" si="14">K67</f>
        <v>8</v>
      </c>
    </row>
    <row r="69" spans="2:15" hidden="1" x14ac:dyDescent="0.25">
      <c r="B69" s="123"/>
      <c r="C69" s="120"/>
      <c r="F69" s="81"/>
      <c r="G69" s="81"/>
      <c r="H69" s="81"/>
      <c r="K69" s="120"/>
    </row>
    <row r="70" spans="2:15" hidden="1" x14ac:dyDescent="0.25">
      <c r="B70" s="123"/>
      <c r="C70" s="120"/>
      <c r="F70" s="81"/>
      <c r="G70" s="81"/>
      <c r="H70" s="81"/>
      <c r="K70" s="120"/>
    </row>
    <row r="71" spans="2:15" hidden="1" x14ac:dyDescent="0.25">
      <c r="B71" s="123"/>
      <c r="C71" s="120"/>
      <c r="F71" s="81"/>
      <c r="G71" s="81"/>
      <c r="H71" s="81"/>
      <c r="K71" s="120"/>
    </row>
    <row r="72" spans="2:15" hidden="1" x14ac:dyDescent="0.25">
      <c r="B72" s="123"/>
      <c r="C72" s="120"/>
      <c r="F72" s="81"/>
      <c r="G72" s="81"/>
      <c r="H72" s="81"/>
      <c r="K72" s="120"/>
    </row>
    <row r="73" spans="2:15" x14ac:dyDescent="0.25">
      <c r="B73" s="131">
        <f>SUM(B62:B68)</f>
        <v>22</v>
      </c>
      <c r="C73" s="127"/>
      <c r="D73" s="127" t="s">
        <v>70</v>
      </c>
      <c r="E73" s="120"/>
      <c r="F73" s="133"/>
      <c r="G73" s="133"/>
      <c r="H73" s="133"/>
      <c r="I73" s="120"/>
      <c r="J73" s="120"/>
      <c r="K73" s="120"/>
    </row>
    <row r="74" spans="2:15" ht="15.75" x14ac:dyDescent="0.25">
      <c r="B74" s="119" t="s">
        <v>52</v>
      </c>
      <c r="C74" s="120"/>
      <c r="D74" s="120"/>
      <c r="E74" s="120"/>
      <c r="F74" s="133"/>
      <c r="G74" s="133"/>
      <c r="H74" s="133"/>
      <c r="I74" s="120"/>
      <c r="J74" s="120"/>
      <c r="K74" s="120"/>
    </row>
    <row r="75" spans="2:15" ht="51.75" x14ac:dyDescent="0.25">
      <c r="B75" s="121" t="s">
        <v>55</v>
      </c>
      <c r="C75" s="121" t="s">
        <v>2</v>
      </c>
      <c r="D75" s="121" t="s">
        <v>75</v>
      </c>
      <c r="E75" s="121" t="s">
        <v>49</v>
      </c>
      <c r="F75" s="122" t="s">
        <v>30</v>
      </c>
      <c r="G75" s="122" t="s">
        <v>31</v>
      </c>
      <c r="H75" s="122" t="s">
        <v>77</v>
      </c>
      <c r="I75" s="121" t="s">
        <v>50</v>
      </c>
      <c r="J75" s="121" t="s">
        <v>76</v>
      </c>
      <c r="K75" s="121" t="s">
        <v>0</v>
      </c>
    </row>
    <row r="76" spans="2:15" x14ac:dyDescent="0.25">
      <c r="B76" s="123">
        <f>'Calcs Option 4'!B59</f>
        <v>12</v>
      </c>
      <c r="C76" s="123">
        <f>'Calcs Option 4'!C59</f>
        <v>1</v>
      </c>
      <c r="D76" s="38"/>
      <c r="E76" s="41">
        <f>C76</f>
        <v>1</v>
      </c>
      <c r="F76" s="89">
        <f>'Calcs Option 4'!F59</f>
        <v>0.63541666666666663</v>
      </c>
      <c r="G76" s="89">
        <f>'Calcs Option 4'!G59</f>
        <v>0.64444444444444438</v>
      </c>
      <c r="H76" s="89">
        <f>'Calcs Option 4'!I59</f>
        <v>0.66874999999999996</v>
      </c>
      <c r="I76" s="38"/>
      <c r="J76" s="39"/>
      <c r="K76" s="123">
        <f>'Calcs Option 4'!D59</f>
        <v>1</v>
      </c>
      <c r="M76" s="110">
        <f>G76-F76</f>
        <v>9.0277777777777457E-3</v>
      </c>
      <c r="N76" s="110">
        <f>H76-G76</f>
        <v>2.430555555555558E-2</v>
      </c>
      <c r="O76" s="111"/>
    </row>
    <row r="77" spans="2:15" x14ac:dyDescent="0.25">
      <c r="B77" s="123"/>
      <c r="C77" s="120" t="s">
        <v>32</v>
      </c>
      <c r="D77" s="120"/>
      <c r="E77" s="42"/>
      <c r="F77" s="90">
        <f>'Calcs Option 4'!L59</f>
        <v>0.70347222222222217</v>
      </c>
      <c r="G77" s="90"/>
      <c r="H77" s="91">
        <f>'Calcs Option 4'!K59</f>
        <v>0.67222222222222217</v>
      </c>
      <c r="I77" s="42" t="str">
        <f>C77</f>
        <v>R1</v>
      </c>
      <c r="J77" s="40"/>
      <c r="K77" s="123">
        <f>K76</f>
        <v>1</v>
      </c>
      <c r="M77" s="110"/>
      <c r="N77" s="110"/>
      <c r="O77" s="110">
        <f>F77-H77</f>
        <v>3.125E-2</v>
      </c>
    </row>
    <row r="78" spans="2:15" x14ac:dyDescent="0.25">
      <c r="B78" s="123">
        <f>'Calcs Option 4'!B60</f>
        <v>12</v>
      </c>
      <c r="C78" s="123">
        <f>'Calcs Option 4'!C60</f>
        <v>2</v>
      </c>
      <c r="D78" s="38"/>
      <c r="E78" s="41">
        <f>C78</f>
        <v>2</v>
      </c>
      <c r="F78" s="89">
        <f>'Calcs Option 4'!F60</f>
        <v>0.64583333333333326</v>
      </c>
      <c r="G78" s="89">
        <f>'Calcs Option 4'!G60</f>
        <v>0.65486111111111101</v>
      </c>
      <c r="H78" s="89">
        <f>'Calcs Option 4'!I60</f>
        <v>0.67916666666666659</v>
      </c>
      <c r="I78" s="38"/>
      <c r="J78" s="39"/>
      <c r="K78" s="123">
        <f>'Calcs Option 4'!D60</f>
        <v>2</v>
      </c>
      <c r="M78" s="110">
        <f>G78-F78</f>
        <v>9.0277777777777457E-3</v>
      </c>
      <c r="N78" s="110">
        <f>H78-G78</f>
        <v>2.430555555555558E-2</v>
      </c>
      <c r="O78" s="111"/>
    </row>
    <row r="79" spans="2:15" x14ac:dyDescent="0.25">
      <c r="B79" s="123"/>
      <c r="C79" s="120" t="s">
        <v>33</v>
      </c>
      <c r="D79" s="120"/>
      <c r="E79" s="42"/>
      <c r="F79" s="90">
        <f>'Calcs Option 4'!L60</f>
        <v>0.7138888888888888</v>
      </c>
      <c r="G79" s="90"/>
      <c r="H79" s="91">
        <f>'Calcs Option 4'!K60</f>
        <v>0.6826388888888888</v>
      </c>
      <c r="I79" s="42" t="str">
        <f>C79</f>
        <v>R2</v>
      </c>
      <c r="J79" s="40"/>
      <c r="K79" s="123">
        <f>K78</f>
        <v>2</v>
      </c>
      <c r="M79" s="110"/>
      <c r="N79" s="110"/>
      <c r="O79" s="110">
        <f>F79-H79</f>
        <v>3.125E-2</v>
      </c>
    </row>
    <row r="80" spans="2:15" x14ac:dyDescent="0.25">
      <c r="B80" s="123">
        <f>'Calcs Option 4'!B61</f>
        <v>12</v>
      </c>
      <c r="C80" s="123">
        <f>'Calcs Option 4'!C61</f>
        <v>3</v>
      </c>
      <c r="D80" s="38"/>
      <c r="E80" s="41">
        <f>C80</f>
        <v>3</v>
      </c>
      <c r="F80" s="89">
        <f>'Calcs Option 4'!F61</f>
        <v>0.65624999999999989</v>
      </c>
      <c r="G80" s="89">
        <f>'Calcs Option 4'!G61</f>
        <v>0.66527777777777763</v>
      </c>
      <c r="H80" s="89">
        <f>'Calcs Option 4'!I61</f>
        <v>0.68958333333333321</v>
      </c>
      <c r="I80" s="38"/>
      <c r="J80" s="39"/>
      <c r="K80" s="123">
        <f>'Calcs Option 4'!D61</f>
        <v>3</v>
      </c>
      <c r="M80" s="110">
        <f>G80-F80</f>
        <v>9.0277777777777457E-3</v>
      </c>
      <c r="N80" s="110">
        <f>H80-G80</f>
        <v>2.430555555555558E-2</v>
      </c>
      <c r="O80" s="111"/>
    </row>
    <row r="81" spans="2:15" x14ac:dyDescent="0.25">
      <c r="B81" s="123"/>
      <c r="C81" s="120" t="s">
        <v>34</v>
      </c>
      <c r="D81" s="120"/>
      <c r="E81" s="42"/>
      <c r="F81" s="90">
        <f>'Calcs Option 4'!L61</f>
        <v>0.72430555555555542</v>
      </c>
      <c r="G81" s="90"/>
      <c r="H81" s="91">
        <f>'Calcs Option 4'!K61</f>
        <v>0.69305555555555542</v>
      </c>
      <c r="I81" s="42" t="str">
        <f>C81</f>
        <v>R3</v>
      </c>
      <c r="J81" s="40"/>
      <c r="K81" s="123">
        <f>K80</f>
        <v>3</v>
      </c>
      <c r="M81" s="110"/>
      <c r="N81" s="110"/>
      <c r="O81" s="110">
        <f>F81-H81</f>
        <v>3.125E-2</v>
      </c>
    </row>
    <row r="82" spans="2:15" x14ac:dyDescent="0.25">
      <c r="B82" s="123">
        <f>'Calcs Option 4'!B62</f>
        <v>12</v>
      </c>
      <c r="C82" s="123">
        <f>'Calcs Option 4'!C62</f>
        <v>4</v>
      </c>
      <c r="D82" s="38"/>
      <c r="E82" s="41">
        <f>C82</f>
        <v>4</v>
      </c>
      <c r="F82" s="89">
        <f>'Calcs Option 4'!F62</f>
        <v>0.66666666666666652</v>
      </c>
      <c r="G82" s="89">
        <f>'Calcs Option 4'!G62</f>
        <v>0.67569444444444426</v>
      </c>
      <c r="H82" s="89">
        <f>'Calcs Option 4'!I62</f>
        <v>0.69999999999999984</v>
      </c>
      <c r="I82" s="38"/>
      <c r="J82" s="39"/>
      <c r="K82" s="123">
        <f>'Calcs Option 4'!D62</f>
        <v>4</v>
      </c>
      <c r="M82" s="110">
        <f>G82-F82</f>
        <v>9.0277777777777457E-3</v>
      </c>
      <c r="N82" s="110">
        <f>H82-G82</f>
        <v>2.430555555555558E-2</v>
      </c>
      <c r="O82" s="111"/>
    </row>
    <row r="83" spans="2:15" x14ac:dyDescent="0.25">
      <c r="B83" s="123"/>
      <c r="C83" s="120" t="s">
        <v>35</v>
      </c>
      <c r="D83" s="120"/>
      <c r="E83" s="42"/>
      <c r="F83" s="90">
        <f>'Calcs Option 4'!L62</f>
        <v>0.73472222222222205</v>
      </c>
      <c r="G83" s="90"/>
      <c r="H83" s="91">
        <f>'Calcs Option 4'!K62</f>
        <v>0.70347222222222205</v>
      </c>
      <c r="I83" s="42" t="str">
        <f>C83</f>
        <v>R4</v>
      </c>
      <c r="J83" s="40"/>
      <c r="K83" s="123">
        <f>K82</f>
        <v>4</v>
      </c>
      <c r="M83" s="110"/>
      <c r="N83" s="110"/>
      <c r="O83" s="110">
        <f>F83-H83</f>
        <v>3.125E-2</v>
      </c>
    </row>
    <row r="84" spans="2:15" x14ac:dyDescent="0.25">
      <c r="B84" s="123">
        <f>'Calcs Option 4'!B63</f>
        <v>12</v>
      </c>
      <c r="C84" s="123">
        <f>'Calcs Option 4'!C63</f>
        <v>5</v>
      </c>
      <c r="D84" s="38"/>
      <c r="E84" s="41">
        <f>C84</f>
        <v>5</v>
      </c>
      <c r="F84" s="89">
        <f>'Calcs Option 4'!F63</f>
        <v>0.67361111111111094</v>
      </c>
      <c r="G84" s="89">
        <f>'Calcs Option 4'!G63</f>
        <v>0.68263888888888868</v>
      </c>
      <c r="H84" s="89">
        <f>'Calcs Option 4'!I63</f>
        <v>0.70694444444444426</v>
      </c>
      <c r="I84" s="38"/>
      <c r="J84" s="39"/>
      <c r="K84" s="123">
        <f>'Calcs Option 4'!D63</f>
        <v>5</v>
      </c>
      <c r="M84" s="110">
        <f>G84-F84</f>
        <v>9.0277777777777457E-3</v>
      </c>
      <c r="N84" s="110">
        <f>H84-G84</f>
        <v>2.430555555555558E-2</v>
      </c>
      <c r="O84" s="111"/>
    </row>
    <row r="85" spans="2:15" x14ac:dyDescent="0.25">
      <c r="B85" s="123"/>
      <c r="C85" s="120" t="s">
        <v>36</v>
      </c>
      <c r="D85" s="120"/>
      <c r="E85" s="42"/>
      <c r="F85" s="90">
        <f>'Calcs Option 4'!L63</f>
        <v>0.74166666666666647</v>
      </c>
      <c r="G85" s="90"/>
      <c r="H85" s="91">
        <f>'Calcs Option 4'!K63</f>
        <v>0.71041666666666647</v>
      </c>
      <c r="I85" s="42" t="str">
        <f>C85</f>
        <v>R5</v>
      </c>
      <c r="J85" s="40"/>
      <c r="K85" s="123">
        <f>K84</f>
        <v>5</v>
      </c>
      <c r="M85" s="110"/>
      <c r="N85" s="110"/>
      <c r="O85" s="110">
        <f>F85-H85</f>
        <v>3.125E-2</v>
      </c>
    </row>
    <row r="86" spans="2:15" x14ac:dyDescent="0.25">
      <c r="B86" s="123">
        <f>'Calcs Option 4'!B64</f>
        <v>12</v>
      </c>
      <c r="C86" s="123">
        <f>'Calcs Option 4'!C64</f>
        <v>6</v>
      </c>
      <c r="D86" s="38"/>
      <c r="E86" s="41">
        <f>C86</f>
        <v>6</v>
      </c>
      <c r="F86" s="89">
        <f>'Calcs Option 4'!F64</f>
        <v>0.68055555555555536</v>
      </c>
      <c r="G86" s="89">
        <f>'Calcs Option 4'!G64</f>
        <v>0.6895833333333331</v>
      </c>
      <c r="H86" s="89">
        <f>'Calcs Option 4'!I64</f>
        <v>0.71388888888888868</v>
      </c>
      <c r="I86" s="38"/>
      <c r="J86" s="39"/>
      <c r="K86" s="123">
        <f>'Calcs Option 4'!D64</f>
        <v>6</v>
      </c>
      <c r="M86" s="110">
        <f>G86-F86</f>
        <v>9.0277777777777457E-3</v>
      </c>
      <c r="N86" s="110">
        <f>H86-G86</f>
        <v>2.430555555555558E-2</v>
      </c>
      <c r="O86" s="111"/>
    </row>
    <row r="87" spans="2:15" x14ac:dyDescent="0.25">
      <c r="B87" s="123"/>
      <c r="C87" s="120" t="s">
        <v>37</v>
      </c>
      <c r="D87" s="120"/>
      <c r="E87" s="42"/>
      <c r="F87" s="90">
        <f>'Calcs Option 4'!L64</f>
        <v>0.74861111111111089</v>
      </c>
      <c r="G87" s="90"/>
      <c r="H87" s="91">
        <f>'Calcs Option 4'!K64</f>
        <v>0.71736111111111089</v>
      </c>
      <c r="I87" s="42" t="str">
        <f>C87</f>
        <v>R6</v>
      </c>
      <c r="J87" s="40"/>
      <c r="K87" s="123">
        <f>K86</f>
        <v>6</v>
      </c>
      <c r="M87" s="110"/>
      <c r="N87" s="110"/>
      <c r="O87" s="110">
        <f>F87-H87</f>
        <v>3.125E-2</v>
      </c>
    </row>
    <row r="88" spans="2:15" x14ac:dyDescent="0.25">
      <c r="B88" s="123">
        <f>'Calcs Option 4'!B65</f>
        <v>12</v>
      </c>
      <c r="C88" s="123">
        <f>'Calcs Option 4'!C65</f>
        <v>7</v>
      </c>
      <c r="D88" s="38"/>
      <c r="E88" s="41">
        <f>C88</f>
        <v>7</v>
      </c>
      <c r="F88" s="89">
        <f>'Calcs Option 4'!F65</f>
        <v>0.68749999999999978</v>
      </c>
      <c r="G88" s="89">
        <f>'Calcs Option 4'!G65</f>
        <v>0.69652777777777752</v>
      </c>
      <c r="H88" s="89">
        <f>'Calcs Option 4'!I65</f>
        <v>0.7208333333333331</v>
      </c>
      <c r="I88" s="38"/>
      <c r="J88" s="39"/>
      <c r="K88" s="123">
        <f>'Calcs Option 4'!D65</f>
        <v>7</v>
      </c>
      <c r="M88" s="110">
        <f>G88-F88</f>
        <v>9.0277777777777457E-3</v>
      </c>
      <c r="N88" s="110">
        <f>H88-G88</f>
        <v>2.430555555555558E-2</v>
      </c>
      <c r="O88" s="111"/>
    </row>
    <row r="89" spans="2:15" x14ac:dyDescent="0.25">
      <c r="B89" s="123"/>
      <c r="C89" s="120" t="s">
        <v>38</v>
      </c>
      <c r="D89" s="120"/>
      <c r="E89" s="42"/>
      <c r="F89" s="90">
        <f>'Calcs Option 4'!L65</f>
        <v>0.75555555555555531</v>
      </c>
      <c r="G89" s="90"/>
      <c r="H89" s="91">
        <f>'Calcs Option 4'!K65</f>
        <v>0.72430555555555531</v>
      </c>
      <c r="I89" s="42" t="str">
        <f>C89</f>
        <v>R7</v>
      </c>
      <c r="J89" s="40"/>
      <c r="K89" s="123">
        <f>K88</f>
        <v>7</v>
      </c>
      <c r="M89" s="110"/>
      <c r="N89" s="110"/>
      <c r="O89" s="110">
        <f>F89-H89</f>
        <v>3.125E-2</v>
      </c>
    </row>
    <row r="90" spans="2:15" x14ac:dyDescent="0.25">
      <c r="B90" s="123">
        <f>'Calcs Option 4'!B66</f>
        <v>24</v>
      </c>
      <c r="C90" s="123">
        <f>'Calcs Option 4'!C66</f>
        <v>8</v>
      </c>
      <c r="D90" s="38"/>
      <c r="E90" s="41">
        <f>C90</f>
        <v>8</v>
      </c>
      <c r="F90" s="89">
        <f>'Calcs Option 4'!F66</f>
        <v>0.69097222222222199</v>
      </c>
      <c r="G90" s="89">
        <f>'Calcs Option 4'!G66</f>
        <v>0.69999999999999973</v>
      </c>
      <c r="H90" s="89">
        <f>'Calcs Option 4'!I66</f>
        <v>0.72430555555555531</v>
      </c>
      <c r="I90" s="38"/>
      <c r="J90" s="125" t="s">
        <v>53</v>
      </c>
      <c r="K90" s="123">
        <f>'Calcs Option 4'!D66</f>
        <v>21</v>
      </c>
      <c r="M90" s="110">
        <f>G90-F90</f>
        <v>9.0277777777777457E-3</v>
      </c>
      <c r="N90" s="110">
        <f>H90-G90</f>
        <v>2.430555555555558E-2</v>
      </c>
    </row>
    <row r="91" spans="2:15" x14ac:dyDescent="0.25">
      <c r="B91" s="123">
        <f>'Calcs Option 4'!B67</f>
        <v>24</v>
      </c>
      <c r="C91" s="123">
        <f>'Calcs Option 4'!C67</f>
        <v>9</v>
      </c>
      <c r="D91" s="38"/>
      <c r="E91" s="41">
        <f>C91</f>
        <v>9</v>
      </c>
      <c r="F91" s="89">
        <f>'Calcs Option 4'!F67</f>
        <v>0.6944444444444442</v>
      </c>
      <c r="G91" s="89">
        <f>'Calcs Option 4'!G67</f>
        <v>0.70347222222222194</v>
      </c>
      <c r="H91" s="89">
        <f>'Calcs Option 4'!I67</f>
        <v>0.72777777777777752</v>
      </c>
      <c r="I91" s="38"/>
      <c r="J91" s="39"/>
      <c r="K91" s="123">
        <f>'Calcs Option 4'!D67</f>
        <v>9</v>
      </c>
      <c r="M91" s="110">
        <f>G91-F91</f>
        <v>9.0277777777777457E-3</v>
      </c>
      <c r="N91" s="110">
        <f>H91-G91</f>
        <v>2.430555555555558E-2</v>
      </c>
      <c r="O91" s="111"/>
    </row>
    <row r="92" spans="2:15" x14ac:dyDescent="0.25">
      <c r="B92" s="123"/>
      <c r="C92" s="132" t="s">
        <v>39</v>
      </c>
      <c r="D92" s="120"/>
      <c r="E92" s="42"/>
      <c r="F92" s="90">
        <f>'Calcs Option 4'!L67</f>
        <v>0.76249999999999973</v>
      </c>
      <c r="G92" s="90"/>
      <c r="H92" s="91">
        <f>'Calcs Option 4'!K67</f>
        <v>0.73124999999999973</v>
      </c>
      <c r="I92" s="42" t="str">
        <f>C92</f>
        <v>R8</v>
      </c>
      <c r="J92" s="40"/>
      <c r="K92" s="123">
        <f>K91</f>
        <v>9</v>
      </c>
      <c r="M92" s="110"/>
      <c r="N92" s="110"/>
      <c r="O92" s="110">
        <f>F92-H92</f>
        <v>3.125E-2</v>
      </c>
    </row>
    <row r="93" spans="2:15" x14ac:dyDescent="0.25">
      <c r="B93" s="123">
        <f>'Calcs Option 4'!B68</f>
        <v>16</v>
      </c>
      <c r="C93" s="123">
        <f>'Calcs Option 4'!C68</f>
        <v>10</v>
      </c>
      <c r="D93" s="38"/>
      <c r="E93" s="41">
        <f t="shared" ref="E93:E98" si="15">C93</f>
        <v>10</v>
      </c>
      <c r="F93" s="89">
        <f>'Calcs Option 4'!F68</f>
        <v>0.69791666666666641</v>
      </c>
      <c r="G93" s="89">
        <f>'Calcs Option 4'!G68</f>
        <v>0.70694444444444415</v>
      </c>
      <c r="H93" s="89">
        <f>'Calcs Option 4'!I68</f>
        <v>0.73124999999999973</v>
      </c>
      <c r="I93" s="38"/>
      <c r="J93" s="125" t="s">
        <v>53</v>
      </c>
      <c r="K93" s="123">
        <f>'Calcs Option 4'!D68</f>
        <v>10</v>
      </c>
      <c r="M93" s="110">
        <f t="shared" ref="M93:M97" si="16">G93-F93</f>
        <v>9.0277777777777457E-3</v>
      </c>
      <c r="N93" s="110">
        <f t="shared" ref="N93:N97" si="17">H93-G93</f>
        <v>2.430555555555558E-2</v>
      </c>
    </row>
    <row r="94" spans="2:15" x14ac:dyDescent="0.25">
      <c r="B94" s="124">
        <f>'Calcs Option 4'!B69</f>
        <v>16</v>
      </c>
      <c r="C94" s="124">
        <f>'Calcs Option 4'!C69</f>
        <v>11</v>
      </c>
      <c r="D94" s="74"/>
      <c r="E94" s="75">
        <f t="shared" si="15"/>
        <v>11</v>
      </c>
      <c r="F94" s="92">
        <f>'Calcs Option 4'!F69</f>
        <v>0.69930555555555529</v>
      </c>
      <c r="G94" s="92">
        <f>'Calcs Option 4'!G69</f>
        <v>0.70833333333333304</v>
      </c>
      <c r="H94" s="92">
        <f>'Calcs Option 4'!I69</f>
        <v>0.73263888888888862</v>
      </c>
      <c r="I94" s="74"/>
      <c r="J94" s="125" t="s">
        <v>53</v>
      </c>
      <c r="K94" s="124">
        <f>'Calcs Option 4'!D69</f>
        <v>22</v>
      </c>
      <c r="M94" s="110">
        <f t="shared" si="16"/>
        <v>9.0277777777777457E-3</v>
      </c>
      <c r="N94" s="110">
        <f t="shared" si="17"/>
        <v>2.430555555555558E-2</v>
      </c>
    </row>
    <row r="95" spans="2:15" x14ac:dyDescent="0.25">
      <c r="B95" s="123">
        <f>'Calcs Option 4'!B70</f>
        <v>24</v>
      </c>
      <c r="C95" s="123">
        <f>'Calcs Option 4'!C70</f>
        <v>12</v>
      </c>
      <c r="D95" s="38"/>
      <c r="E95" s="41">
        <f t="shared" si="15"/>
        <v>12</v>
      </c>
      <c r="F95" s="89">
        <f>'Calcs Option 4'!F70</f>
        <v>0.70069444444444418</v>
      </c>
      <c r="G95" s="89">
        <f>'Calcs Option 4'!G70</f>
        <v>0.70972222222222192</v>
      </c>
      <c r="H95" s="89">
        <f>'Calcs Option 4'!I70</f>
        <v>0.7340277777777775</v>
      </c>
      <c r="I95" s="38"/>
      <c r="J95" s="125" t="s">
        <v>53</v>
      </c>
      <c r="K95" s="123">
        <f>'Calcs Option 4'!D70</f>
        <v>11</v>
      </c>
      <c r="M95" s="110">
        <f t="shared" si="16"/>
        <v>9.0277777777777457E-3</v>
      </c>
      <c r="N95" s="110">
        <f t="shared" si="17"/>
        <v>2.430555555555558E-2</v>
      </c>
    </row>
    <row r="96" spans="2:15" x14ac:dyDescent="0.25">
      <c r="B96" s="123">
        <f>'Calcs Option 4'!B71</f>
        <v>24</v>
      </c>
      <c r="C96" s="123">
        <f>'Calcs Option 4'!C71</f>
        <v>13</v>
      </c>
      <c r="D96" s="38"/>
      <c r="E96" s="41">
        <f t="shared" si="15"/>
        <v>13</v>
      </c>
      <c r="F96" s="89">
        <f>'Calcs Option 4'!F71</f>
        <v>0.7027777777777775</v>
      </c>
      <c r="G96" s="89">
        <f>'Calcs Option 4'!G71</f>
        <v>0.71180555555555525</v>
      </c>
      <c r="H96" s="89">
        <f>'Calcs Option 4'!I71</f>
        <v>0.73611111111111083</v>
      </c>
      <c r="I96" s="38"/>
      <c r="J96" s="125" t="s">
        <v>53</v>
      </c>
      <c r="K96" s="123">
        <f>'Calcs Option 4'!D71</f>
        <v>12</v>
      </c>
      <c r="M96" s="110">
        <f t="shared" si="16"/>
        <v>9.0277777777777457E-3</v>
      </c>
      <c r="N96" s="110">
        <f t="shared" si="17"/>
        <v>2.430555555555558E-2</v>
      </c>
    </row>
    <row r="97" spans="2:15" x14ac:dyDescent="0.25">
      <c r="B97" s="124">
        <f>'Calcs Option 4'!B72</f>
        <v>24</v>
      </c>
      <c r="C97" s="124">
        <f>'Calcs Option 4'!C72</f>
        <v>14</v>
      </c>
      <c r="D97" s="74"/>
      <c r="E97" s="75">
        <f t="shared" si="15"/>
        <v>14</v>
      </c>
      <c r="F97" s="92">
        <f>'Calcs Option 4'!F72</f>
        <v>0.70416666666666639</v>
      </c>
      <c r="G97" s="92">
        <f>'Calcs Option 4'!G72</f>
        <v>0.71319444444444413</v>
      </c>
      <c r="H97" s="92">
        <f>'Calcs Option 4'!I72</f>
        <v>0.73749999999999971</v>
      </c>
      <c r="I97" s="74"/>
      <c r="J97" s="125" t="s">
        <v>53</v>
      </c>
      <c r="K97" s="124">
        <f>'Calcs Option 4'!D72</f>
        <v>23</v>
      </c>
      <c r="M97" s="110">
        <f t="shared" si="16"/>
        <v>9.0277777777777457E-3</v>
      </c>
      <c r="N97" s="110">
        <f t="shared" si="17"/>
        <v>2.430555555555558E-2</v>
      </c>
    </row>
    <row r="98" spans="2:15" x14ac:dyDescent="0.25">
      <c r="B98" s="123">
        <f>'Calcs Option 4'!B73</f>
        <v>24</v>
      </c>
      <c r="C98" s="123">
        <f>'Calcs Option 4'!C73</f>
        <v>15</v>
      </c>
      <c r="D98" s="38"/>
      <c r="E98" s="41">
        <f t="shared" si="15"/>
        <v>15</v>
      </c>
      <c r="F98" s="89">
        <f>'Calcs Option 4'!F73</f>
        <v>0.70624999999999971</v>
      </c>
      <c r="G98" s="89">
        <f>'Calcs Option 4'!G73</f>
        <v>0.71527777777777746</v>
      </c>
      <c r="H98" s="89">
        <f>'Calcs Option 4'!I73</f>
        <v>0.73958333333333304</v>
      </c>
      <c r="I98" s="38"/>
      <c r="J98" s="39"/>
      <c r="K98" s="123">
        <f>'Calcs Option 4'!D73</f>
        <v>13</v>
      </c>
      <c r="M98" s="110">
        <f>G98-F98</f>
        <v>9.0277777777777457E-3</v>
      </c>
      <c r="N98" s="110">
        <f>H98-G98</f>
        <v>2.430555555555558E-2</v>
      </c>
      <c r="O98" s="111"/>
    </row>
    <row r="99" spans="2:15" x14ac:dyDescent="0.25">
      <c r="B99" s="123"/>
      <c r="C99" s="132" t="s">
        <v>40</v>
      </c>
      <c r="D99" s="120"/>
      <c r="E99" s="42"/>
      <c r="F99" s="90">
        <f>'Calcs Option 4'!L73</f>
        <v>0.77430555555555525</v>
      </c>
      <c r="G99" s="90"/>
      <c r="H99" s="91">
        <f>'Calcs Option 4'!K73</f>
        <v>0.74305555555555525</v>
      </c>
      <c r="I99" s="42" t="str">
        <f>C99</f>
        <v>R9</v>
      </c>
      <c r="J99" s="40"/>
      <c r="K99" s="123">
        <f>K98</f>
        <v>13</v>
      </c>
      <c r="M99" s="110"/>
      <c r="N99" s="110"/>
      <c r="O99" s="110">
        <f>F99-H99</f>
        <v>3.125E-2</v>
      </c>
    </row>
    <row r="100" spans="2:15" x14ac:dyDescent="0.25">
      <c r="B100" s="123">
        <f>'Calcs Option 4'!B74</f>
        <v>27</v>
      </c>
      <c r="C100" s="123">
        <f>'Calcs Option 4'!C74</f>
        <v>16</v>
      </c>
      <c r="D100" s="38"/>
      <c r="E100" s="41">
        <f t="shared" ref="E100:E106" si="18">C100</f>
        <v>16</v>
      </c>
      <c r="F100" s="89">
        <f>'Calcs Option 4'!F74</f>
        <v>0.70833333333333304</v>
      </c>
      <c r="G100" s="89">
        <f>'Calcs Option 4'!G74</f>
        <v>0.71736111111111078</v>
      </c>
      <c r="H100" s="89">
        <f>'Calcs Option 4'!I74</f>
        <v>0.74166666666666636</v>
      </c>
      <c r="I100" s="38"/>
      <c r="J100" s="125" t="s">
        <v>53</v>
      </c>
      <c r="K100" s="123">
        <f>'Calcs Option 4'!D74</f>
        <v>14</v>
      </c>
      <c r="M100" s="110">
        <f t="shared" ref="M100:M105" si="19">G100-F100</f>
        <v>9.0277777777777457E-3</v>
      </c>
      <c r="N100" s="110">
        <f t="shared" ref="N100:N105" si="20">H100-G100</f>
        <v>2.430555555555558E-2</v>
      </c>
    </row>
    <row r="101" spans="2:15" x14ac:dyDescent="0.25">
      <c r="B101" s="124">
        <f>'Calcs Option 4'!B75</f>
        <v>27</v>
      </c>
      <c r="C101" s="124">
        <f>'Calcs Option 4'!C75</f>
        <v>17</v>
      </c>
      <c r="D101" s="74"/>
      <c r="E101" s="75">
        <f t="shared" si="18"/>
        <v>17</v>
      </c>
      <c r="F101" s="92">
        <f>'Calcs Option 4'!F75</f>
        <v>0.70972222222222192</v>
      </c>
      <c r="G101" s="92">
        <f>'Calcs Option 4'!G75</f>
        <v>0.71874999999999967</v>
      </c>
      <c r="H101" s="92">
        <f>'Calcs Option 4'!I75</f>
        <v>0.74305555555555525</v>
      </c>
      <c r="I101" s="74"/>
      <c r="J101" s="125" t="s">
        <v>53</v>
      </c>
      <c r="K101" s="124">
        <f>'Calcs Option 4'!D75</f>
        <v>24</v>
      </c>
      <c r="M101" s="110">
        <f t="shared" si="19"/>
        <v>9.0277777777777457E-3</v>
      </c>
      <c r="N101" s="110">
        <f t="shared" si="20"/>
        <v>2.430555555555558E-2</v>
      </c>
    </row>
    <row r="102" spans="2:15" x14ac:dyDescent="0.25">
      <c r="B102" s="123">
        <f>'Calcs Option 4'!B76</f>
        <v>27</v>
      </c>
      <c r="C102" s="123">
        <f>'Calcs Option 4'!C76</f>
        <v>18</v>
      </c>
      <c r="D102" s="38"/>
      <c r="E102" s="41">
        <f t="shared" si="18"/>
        <v>18</v>
      </c>
      <c r="F102" s="89">
        <f>'Calcs Option 4'!F76</f>
        <v>0.71180555555555525</v>
      </c>
      <c r="G102" s="89">
        <f>'Calcs Option 4'!G76</f>
        <v>0.72083333333333299</v>
      </c>
      <c r="H102" s="89">
        <f>'Calcs Option 4'!I76</f>
        <v>0.74513888888888857</v>
      </c>
      <c r="I102" s="38"/>
      <c r="J102" s="125" t="s">
        <v>53</v>
      </c>
      <c r="K102" s="123">
        <f>'Calcs Option 4'!D76</f>
        <v>15</v>
      </c>
      <c r="M102" s="110">
        <f t="shared" si="19"/>
        <v>9.0277777777777457E-3</v>
      </c>
      <c r="N102" s="110">
        <f t="shared" si="20"/>
        <v>2.430555555555558E-2</v>
      </c>
    </row>
    <row r="103" spans="2:15" x14ac:dyDescent="0.25">
      <c r="B103" s="123">
        <f>'Calcs Option 4'!B77</f>
        <v>27</v>
      </c>
      <c r="C103" s="123">
        <f>'Calcs Option 4'!C77</f>
        <v>19</v>
      </c>
      <c r="D103" s="38"/>
      <c r="E103" s="41">
        <f t="shared" si="18"/>
        <v>19</v>
      </c>
      <c r="F103" s="89">
        <f>'Calcs Option 4'!F77</f>
        <v>0.71388888888888857</v>
      </c>
      <c r="G103" s="89">
        <f>'Calcs Option 4'!G77</f>
        <v>0.72291666666666632</v>
      </c>
      <c r="H103" s="89">
        <f>'Calcs Option 4'!I77</f>
        <v>0.7472222222222219</v>
      </c>
      <c r="I103" s="38"/>
      <c r="J103" s="125" t="s">
        <v>53</v>
      </c>
      <c r="K103" s="123">
        <f>'Calcs Option 4'!D77</f>
        <v>1</v>
      </c>
      <c r="M103" s="110">
        <f t="shared" si="19"/>
        <v>9.0277777777777457E-3</v>
      </c>
      <c r="N103" s="110">
        <f t="shared" si="20"/>
        <v>2.430555555555558E-2</v>
      </c>
    </row>
    <row r="104" spans="2:15" x14ac:dyDescent="0.25">
      <c r="B104" s="124">
        <f>'Calcs Option 4'!B78</f>
        <v>27</v>
      </c>
      <c r="C104" s="124">
        <f>'Calcs Option 4'!C78</f>
        <v>20</v>
      </c>
      <c r="D104" s="74"/>
      <c r="E104" s="75">
        <f t="shared" si="18"/>
        <v>20</v>
      </c>
      <c r="F104" s="92">
        <f>'Calcs Option 4'!F78</f>
        <v>0.71527777777777746</v>
      </c>
      <c r="G104" s="92">
        <f>'Calcs Option 4'!G78</f>
        <v>0.7243055555555552</v>
      </c>
      <c r="H104" s="92">
        <f>'Calcs Option 4'!I78</f>
        <v>0.74861111111111078</v>
      </c>
      <c r="I104" s="74"/>
      <c r="J104" s="125" t="s">
        <v>53</v>
      </c>
      <c r="K104" s="124">
        <f>'Calcs Option 4'!D78</f>
        <v>25</v>
      </c>
      <c r="M104" s="110">
        <f t="shared" si="19"/>
        <v>9.0277777777777457E-3</v>
      </c>
      <c r="N104" s="110">
        <f t="shared" si="20"/>
        <v>2.430555555555558E-2</v>
      </c>
    </row>
    <row r="105" spans="2:15" x14ac:dyDescent="0.25">
      <c r="B105" s="123">
        <f>'Calcs Option 4'!B79</f>
        <v>27</v>
      </c>
      <c r="C105" s="123">
        <f>'Calcs Option 4'!C79</f>
        <v>21</v>
      </c>
      <c r="D105" s="38"/>
      <c r="E105" s="41">
        <f t="shared" si="18"/>
        <v>21</v>
      </c>
      <c r="F105" s="89">
        <f>'Calcs Option 4'!F79</f>
        <v>0.71736111111111078</v>
      </c>
      <c r="G105" s="89">
        <f>'Calcs Option 4'!G79</f>
        <v>0.72638888888888853</v>
      </c>
      <c r="H105" s="89">
        <f>'Calcs Option 4'!I79</f>
        <v>0.75069444444444411</v>
      </c>
      <c r="I105" s="38"/>
      <c r="J105" s="125" t="s">
        <v>53</v>
      </c>
      <c r="K105" s="123">
        <f>'Calcs Option 4'!D79</f>
        <v>16</v>
      </c>
      <c r="M105" s="110">
        <f t="shared" si="19"/>
        <v>9.0277777777777457E-3</v>
      </c>
      <c r="N105" s="110">
        <f t="shared" si="20"/>
        <v>2.430555555555558E-2</v>
      </c>
    </row>
    <row r="106" spans="2:15" x14ac:dyDescent="0.25">
      <c r="B106" s="123">
        <f>'Calcs Option 4'!B80</f>
        <v>27</v>
      </c>
      <c r="C106" s="123">
        <f>'Calcs Option 4'!C80</f>
        <v>22</v>
      </c>
      <c r="D106" s="38"/>
      <c r="E106" s="41">
        <f t="shared" si="18"/>
        <v>22</v>
      </c>
      <c r="F106" s="89">
        <f>'Calcs Option 4'!F80</f>
        <v>0.71944444444444411</v>
      </c>
      <c r="G106" s="89">
        <f>'Calcs Option 4'!G80</f>
        <v>0.72847222222222185</v>
      </c>
      <c r="H106" s="89">
        <f>'Calcs Option 4'!I80</f>
        <v>0.75277777777777743</v>
      </c>
      <c r="I106" s="38"/>
      <c r="J106" s="39"/>
      <c r="K106" s="123">
        <f>'Calcs Option 4'!D80</f>
        <v>17</v>
      </c>
      <c r="M106" s="110">
        <f>G106-F106</f>
        <v>9.0277777777777457E-3</v>
      </c>
      <c r="N106" s="110">
        <f>H106-G106</f>
        <v>2.430555555555558E-2</v>
      </c>
      <c r="O106" s="111"/>
    </row>
    <row r="107" spans="2:15" x14ac:dyDescent="0.25">
      <c r="B107" s="123"/>
      <c r="C107" s="132" t="s">
        <v>41</v>
      </c>
      <c r="D107" s="120"/>
      <c r="E107" s="42"/>
      <c r="F107" s="90">
        <f>'Calcs Option 4'!L80</f>
        <v>0.78749999999999964</v>
      </c>
      <c r="G107" s="90"/>
      <c r="H107" s="91">
        <f>'Calcs Option 4'!K80</f>
        <v>0.75624999999999964</v>
      </c>
      <c r="I107" s="42" t="str">
        <f>C107</f>
        <v>R10</v>
      </c>
      <c r="J107" s="40"/>
      <c r="K107" s="123">
        <f>K106</f>
        <v>17</v>
      </c>
      <c r="M107" s="110"/>
      <c r="N107" s="110"/>
      <c r="O107" s="110">
        <f>F107-H107</f>
        <v>3.125E-2</v>
      </c>
    </row>
    <row r="108" spans="2:15" x14ac:dyDescent="0.25">
      <c r="B108" s="124">
        <f>'Calcs Option 4'!B81</f>
        <v>27</v>
      </c>
      <c r="C108" s="124">
        <f>'Calcs Option 4'!C81</f>
        <v>23</v>
      </c>
      <c r="D108" s="74"/>
      <c r="E108" s="75">
        <f>C108</f>
        <v>23</v>
      </c>
      <c r="F108" s="92">
        <f>'Calcs Option 4'!F81</f>
        <v>0.72152777777777743</v>
      </c>
      <c r="G108" s="92">
        <f>'Calcs Option 4'!G81</f>
        <v>0.73055555555555518</v>
      </c>
      <c r="H108" s="92">
        <f>'Calcs Option 4'!I81</f>
        <v>0.75486111111111076</v>
      </c>
      <c r="I108" s="74"/>
      <c r="J108" s="125" t="s">
        <v>53</v>
      </c>
      <c r="K108" s="124">
        <f>'Calcs Option 4'!D81</f>
        <v>26</v>
      </c>
      <c r="M108" s="110">
        <f t="shared" ref="M108:M111" si="21">G108-F108</f>
        <v>9.0277777777777457E-3</v>
      </c>
      <c r="N108" s="110">
        <f t="shared" ref="N108:N111" si="22">H108-G108</f>
        <v>2.430555555555558E-2</v>
      </c>
    </row>
    <row r="109" spans="2:15" x14ac:dyDescent="0.25">
      <c r="B109" s="123">
        <f>'Calcs Option 4'!B82</f>
        <v>27</v>
      </c>
      <c r="C109" s="123">
        <f>'Calcs Option 4'!C82</f>
        <v>24</v>
      </c>
      <c r="D109" s="38"/>
      <c r="E109" s="41">
        <f>C109</f>
        <v>24</v>
      </c>
      <c r="F109" s="89">
        <f>'Calcs Option 4'!F82</f>
        <v>0.72361111111111076</v>
      </c>
      <c r="G109" s="89">
        <f>'Calcs Option 4'!G82</f>
        <v>0.73263888888888851</v>
      </c>
      <c r="H109" s="89">
        <f>'Calcs Option 4'!I82</f>
        <v>0.75694444444444409</v>
      </c>
      <c r="I109" s="38"/>
      <c r="J109" s="125" t="s">
        <v>53</v>
      </c>
      <c r="K109" s="123">
        <f>'Calcs Option 4'!D82</f>
        <v>18</v>
      </c>
      <c r="M109" s="110">
        <f t="shared" si="21"/>
        <v>9.0277777777777457E-3</v>
      </c>
      <c r="N109" s="110">
        <f t="shared" si="22"/>
        <v>2.430555555555558E-2</v>
      </c>
    </row>
    <row r="110" spans="2:15" x14ac:dyDescent="0.25">
      <c r="B110" s="123">
        <f>'Calcs Option 4'!B83</f>
        <v>27</v>
      </c>
      <c r="C110" s="123">
        <f>'Calcs Option 4'!C83</f>
        <v>25</v>
      </c>
      <c r="D110" s="38"/>
      <c r="E110" s="41">
        <f>C110</f>
        <v>25</v>
      </c>
      <c r="F110" s="89">
        <f>'Calcs Option 4'!F83</f>
        <v>0.72569444444444409</v>
      </c>
      <c r="G110" s="89">
        <f>'Calcs Option 4'!G83</f>
        <v>0.73472222222222183</v>
      </c>
      <c r="H110" s="89">
        <f>'Calcs Option 4'!I83</f>
        <v>0.75902777777777741</v>
      </c>
      <c r="I110" s="38"/>
      <c r="J110" s="125" t="s">
        <v>53</v>
      </c>
      <c r="K110" s="123">
        <f>'Calcs Option 4'!D83</f>
        <v>2</v>
      </c>
      <c r="M110" s="110">
        <f t="shared" si="21"/>
        <v>9.0277777777777457E-3</v>
      </c>
      <c r="N110" s="110">
        <f t="shared" si="22"/>
        <v>2.430555555555558E-2</v>
      </c>
    </row>
    <row r="111" spans="2:15" x14ac:dyDescent="0.25">
      <c r="B111" s="124">
        <f>'Calcs Option 4'!B84</f>
        <v>27</v>
      </c>
      <c r="C111" s="124">
        <f>'Calcs Option 4'!C84</f>
        <v>26</v>
      </c>
      <c r="D111" s="74"/>
      <c r="E111" s="75">
        <f>C111</f>
        <v>26</v>
      </c>
      <c r="F111" s="92">
        <f>'Calcs Option 4'!F84</f>
        <v>0.72777777777777741</v>
      </c>
      <c r="G111" s="92">
        <f>'Calcs Option 4'!G84</f>
        <v>0.73680555555555516</v>
      </c>
      <c r="H111" s="92">
        <f>'Calcs Option 4'!I84</f>
        <v>0.76111111111111074</v>
      </c>
      <c r="I111" s="74"/>
      <c r="J111" s="125" t="s">
        <v>53</v>
      </c>
      <c r="K111" s="124">
        <f>'Calcs Option 4'!D84</f>
        <v>27</v>
      </c>
      <c r="M111" s="110">
        <f t="shared" si="21"/>
        <v>9.0277777777777457E-3</v>
      </c>
      <c r="N111" s="110">
        <f t="shared" si="22"/>
        <v>2.430555555555558E-2</v>
      </c>
    </row>
    <row r="112" spans="2:15" x14ac:dyDescent="0.25">
      <c r="B112" s="123">
        <f>'Calcs Option 4'!B85</f>
        <v>27</v>
      </c>
      <c r="C112" s="123">
        <f>'Calcs Option 4'!C85</f>
        <v>27</v>
      </c>
      <c r="D112" s="38"/>
      <c r="E112" s="41">
        <f>C112</f>
        <v>27</v>
      </c>
      <c r="F112" s="89">
        <f>'Calcs Option 4'!F85</f>
        <v>0.72986111111111074</v>
      </c>
      <c r="G112" s="89">
        <f>'Calcs Option 4'!G85</f>
        <v>0.73888888888888848</v>
      </c>
      <c r="H112" s="89">
        <f>'Calcs Option 4'!I85</f>
        <v>0.76319444444444406</v>
      </c>
      <c r="I112" s="38"/>
      <c r="J112" s="39"/>
      <c r="K112" s="123">
        <f>'Calcs Option 4'!D85</f>
        <v>19</v>
      </c>
      <c r="M112" s="110">
        <f>G112-F112</f>
        <v>9.0277777777777457E-3</v>
      </c>
      <c r="N112" s="110">
        <f>H112-G112</f>
        <v>2.430555555555558E-2</v>
      </c>
      <c r="O112" s="111"/>
    </row>
    <row r="113" spans="2:15" x14ac:dyDescent="0.25">
      <c r="B113" s="123"/>
      <c r="C113" s="132" t="s">
        <v>42</v>
      </c>
      <c r="D113" s="120"/>
      <c r="E113" s="42"/>
      <c r="F113" s="90">
        <f>'Calcs Option 4'!L85</f>
        <v>0.79791666666666627</v>
      </c>
      <c r="G113" s="90"/>
      <c r="H113" s="91">
        <f>'Calcs Option 4'!K85</f>
        <v>0.76666666666666627</v>
      </c>
      <c r="I113" s="42" t="str">
        <f>C113</f>
        <v>R11</v>
      </c>
      <c r="J113" s="40"/>
      <c r="K113" s="123">
        <f>K112</f>
        <v>19</v>
      </c>
      <c r="M113" s="110"/>
      <c r="N113" s="110"/>
      <c r="O113" s="110">
        <f>F113-H113</f>
        <v>3.125E-2</v>
      </c>
    </row>
    <row r="114" spans="2:15" x14ac:dyDescent="0.25">
      <c r="B114" s="123">
        <f>'Calcs Option 4'!B86</f>
        <v>24</v>
      </c>
      <c r="C114" s="123">
        <f>'Calcs Option 4'!C86</f>
        <v>28</v>
      </c>
      <c r="D114" s="38"/>
      <c r="E114" s="41">
        <f>C114</f>
        <v>28</v>
      </c>
      <c r="F114" s="89">
        <f>'Calcs Option 4'!F86</f>
        <v>0.73194444444444406</v>
      </c>
      <c r="G114" s="89">
        <f>'Calcs Option 4'!G86</f>
        <v>0.74097222222222181</v>
      </c>
      <c r="H114" s="89">
        <f>'Calcs Option 4'!I86</f>
        <v>0.76527777777777739</v>
      </c>
      <c r="I114" s="38"/>
      <c r="J114" s="125" t="s">
        <v>53</v>
      </c>
      <c r="K114" s="123">
        <f>'Calcs Option 4'!D86</f>
        <v>20</v>
      </c>
      <c r="M114" s="110">
        <f t="shared" ref="M114:M115" si="23">G114-F114</f>
        <v>9.0277777777777457E-3</v>
      </c>
      <c r="N114" s="110">
        <f t="shared" ref="N114:N115" si="24">H114-G114</f>
        <v>2.430555555555558E-2</v>
      </c>
    </row>
    <row r="115" spans="2:15" x14ac:dyDescent="0.25">
      <c r="B115" s="124">
        <f>'Calcs Option 4'!B87</f>
        <v>24</v>
      </c>
      <c r="C115" s="124">
        <f>'Calcs Option 4'!C87</f>
        <v>29</v>
      </c>
      <c r="D115" s="74"/>
      <c r="E115" s="75">
        <f>C115</f>
        <v>29</v>
      </c>
      <c r="F115" s="92">
        <f>'Calcs Option 4'!F87</f>
        <v>0.73402777777777739</v>
      </c>
      <c r="G115" s="92">
        <f>'Calcs Option 4'!G87</f>
        <v>0.74305555555555514</v>
      </c>
      <c r="H115" s="92">
        <f>'Calcs Option 4'!I87</f>
        <v>0.76736111111111072</v>
      </c>
      <c r="I115" s="74"/>
      <c r="J115" s="125" t="s">
        <v>53</v>
      </c>
      <c r="K115" s="124">
        <f>'Calcs Option 4'!D87</f>
        <v>28</v>
      </c>
      <c r="M115" s="110">
        <f t="shared" si="23"/>
        <v>9.0277777777777457E-3</v>
      </c>
      <c r="N115" s="110">
        <f t="shared" si="24"/>
        <v>2.430555555555558E-2</v>
      </c>
    </row>
    <row r="116" spans="2:15" x14ac:dyDescent="0.25">
      <c r="B116" s="123">
        <f>'Calcs Option 4'!B88</f>
        <v>24</v>
      </c>
      <c r="C116" s="123">
        <f>'Calcs Option 4'!C88</f>
        <v>30</v>
      </c>
      <c r="D116" s="38"/>
      <c r="E116" s="41">
        <f>C116</f>
        <v>30</v>
      </c>
      <c r="F116" s="89">
        <f>'Calcs Option 4'!F88</f>
        <v>0.73611111111111072</v>
      </c>
      <c r="G116" s="89">
        <f>'Calcs Option 4'!G88</f>
        <v>0.74513888888888846</v>
      </c>
      <c r="H116" s="89">
        <f>'Calcs Option 4'!I88</f>
        <v>0.76944444444444404</v>
      </c>
      <c r="I116" s="38"/>
      <c r="J116" s="39"/>
      <c r="K116" s="123">
        <f>'Calcs Option 4'!D88</f>
        <v>3</v>
      </c>
      <c r="M116" s="110">
        <f>G116-F116</f>
        <v>9.0277777777777457E-3</v>
      </c>
      <c r="N116" s="110">
        <f>H116-G116</f>
        <v>2.430555555555558E-2</v>
      </c>
      <c r="O116" s="111"/>
    </row>
    <row r="117" spans="2:15" x14ac:dyDescent="0.25">
      <c r="B117" s="123"/>
      <c r="C117" s="132" t="s">
        <v>43</v>
      </c>
      <c r="D117" s="120"/>
      <c r="E117" s="42"/>
      <c r="F117" s="90">
        <f>'Calcs Option 4'!L88</f>
        <v>0.80416666666666625</v>
      </c>
      <c r="G117" s="90"/>
      <c r="H117" s="91">
        <f>'Calcs Option 4'!K88</f>
        <v>0.77291666666666625</v>
      </c>
      <c r="I117" s="42" t="str">
        <f>C117</f>
        <v>R12</v>
      </c>
      <c r="J117" s="40"/>
      <c r="K117" s="123">
        <f>K116</f>
        <v>3</v>
      </c>
      <c r="M117" s="110"/>
      <c r="N117" s="110"/>
      <c r="O117" s="110">
        <f>F117-H117</f>
        <v>3.125E-2</v>
      </c>
    </row>
    <row r="118" spans="2:15" x14ac:dyDescent="0.25">
      <c r="B118" s="123">
        <f>'Calcs Option 4'!B89</f>
        <v>24</v>
      </c>
      <c r="C118" s="123">
        <f>'Calcs Option 4'!C89</f>
        <v>31</v>
      </c>
      <c r="D118" s="38"/>
      <c r="E118" s="41">
        <f>C118</f>
        <v>31</v>
      </c>
      <c r="F118" s="89">
        <f>'Calcs Option 4'!F89</f>
        <v>0.74305555555555514</v>
      </c>
      <c r="G118" s="89">
        <f>'Calcs Option 4'!G89</f>
        <v>0.75208333333333288</v>
      </c>
      <c r="H118" s="89">
        <f>'Calcs Option 4'!I89</f>
        <v>0.77638888888888846</v>
      </c>
      <c r="I118" s="38"/>
      <c r="J118" s="39"/>
      <c r="K118" s="123">
        <f>'Calcs Option 4'!D89</f>
        <v>4</v>
      </c>
      <c r="M118" s="110">
        <f>G118-F118</f>
        <v>9.0277777777777457E-3</v>
      </c>
      <c r="N118" s="110">
        <f>H118-G118</f>
        <v>2.430555555555558E-2</v>
      </c>
      <c r="O118" s="111"/>
    </row>
    <row r="119" spans="2:15" x14ac:dyDescent="0.25">
      <c r="B119" s="123"/>
      <c r="C119" s="120" t="s">
        <v>45</v>
      </c>
      <c r="D119" s="120"/>
      <c r="E119" s="42"/>
      <c r="F119" s="90">
        <f>'Calcs Option 4'!L89</f>
        <v>0.81111111111111067</v>
      </c>
      <c r="G119" s="90"/>
      <c r="H119" s="91">
        <f>'Calcs Option 4'!K89</f>
        <v>0.77986111111111067</v>
      </c>
      <c r="I119" s="42" t="str">
        <f>C119</f>
        <v>R13</v>
      </c>
      <c r="J119" s="40"/>
      <c r="K119" s="123">
        <f>K118</f>
        <v>4</v>
      </c>
      <c r="M119" s="110"/>
      <c r="N119" s="110"/>
      <c r="O119" s="110">
        <f>F119-H119</f>
        <v>3.125E-2</v>
      </c>
    </row>
    <row r="120" spans="2:15" x14ac:dyDescent="0.25">
      <c r="B120" s="123">
        <f>'Calcs Option 4'!B90</f>
        <v>16</v>
      </c>
      <c r="C120" s="123">
        <f>'Calcs Option 4'!C90</f>
        <v>32</v>
      </c>
      <c r="D120" s="38"/>
      <c r="E120" s="41">
        <f>C120</f>
        <v>32</v>
      </c>
      <c r="F120" s="89">
        <f>'Calcs Option 4'!F90</f>
        <v>0.74999999999999956</v>
      </c>
      <c r="G120" s="89">
        <f>'Calcs Option 4'!G90</f>
        <v>0.7590277777777773</v>
      </c>
      <c r="H120" s="89">
        <f>'Calcs Option 4'!I90</f>
        <v>0.78333333333333288</v>
      </c>
      <c r="I120" s="38"/>
      <c r="J120" s="125" t="s">
        <v>53</v>
      </c>
      <c r="K120" s="123">
        <f>'Calcs Option 4'!D90</f>
        <v>5</v>
      </c>
      <c r="M120" s="110">
        <f t="shared" ref="M120" si="25">G120-F120</f>
        <v>9.0277777777777457E-3</v>
      </c>
      <c r="N120" s="110">
        <f t="shared" ref="N120" si="26">H120-G120</f>
        <v>2.430555555555558E-2</v>
      </c>
    </row>
    <row r="121" spans="2:15" x14ac:dyDescent="0.25">
      <c r="B121" s="123">
        <f>'Calcs Option 4'!B91</f>
        <v>16</v>
      </c>
      <c r="C121" s="123">
        <f>'Calcs Option 4'!C91</f>
        <v>33</v>
      </c>
      <c r="D121" s="38"/>
      <c r="E121" s="41">
        <f>C121</f>
        <v>33</v>
      </c>
      <c r="F121" s="89">
        <f>'Calcs Option 4'!F91</f>
        <v>0.75694444444444398</v>
      </c>
      <c r="G121" s="89">
        <f>'Calcs Option 4'!G91</f>
        <v>0.76597222222222172</v>
      </c>
      <c r="H121" s="89">
        <f>'Calcs Option 4'!I91</f>
        <v>0.7902777777777773</v>
      </c>
      <c r="I121" s="38"/>
      <c r="J121" s="39"/>
      <c r="K121" s="123">
        <f>'Calcs Option 4'!D91</f>
        <v>6</v>
      </c>
      <c r="M121" s="110">
        <f>G121-F121</f>
        <v>9.0277777777777457E-3</v>
      </c>
      <c r="N121" s="110">
        <f>H121-G121</f>
        <v>2.430555555555558E-2</v>
      </c>
      <c r="O121" s="111"/>
    </row>
    <row r="122" spans="2:15" x14ac:dyDescent="0.25">
      <c r="B122" s="123"/>
      <c r="C122" s="132" t="s">
        <v>46</v>
      </c>
      <c r="D122" s="120"/>
      <c r="E122" s="42"/>
      <c r="F122" s="90">
        <f>'Calcs Option 4'!L91</f>
        <v>0.82499999999999951</v>
      </c>
      <c r="G122" s="90"/>
      <c r="H122" s="91">
        <f>'Calcs Option 4'!K91</f>
        <v>0.79374999999999951</v>
      </c>
      <c r="I122" s="42" t="str">
        <f>C122</f>
        <v>R14</v>
      </c>
      <c r="J122" s="40"/>
      <c r="K122" s="123">
        <f>K121</f>
        <v>6</v>
      </c>
      <c r="M122" s="110"/>
      <c r="N122" s="110"/>
      <c r="O122" s="110">
        <f>F122-H122</f>
        <v>3.125E-2</v>
      </c>
    </row>
    <row r="123" spans="2:15" x14ac:dyDescent="0.25">
      <c r="B123" s="123">
        <f>'Calcs Option 4'!B92</f>
        <v>16</v>
      </c>
      <c r="C123" s="123">
        <f>'Calcs Option 4'!C92</f>
        <v>34</v>
      </c>
      <c r="D123" s="38"/>
      <c r="E123" s="41">
        <f>C123</f>
        <v>34</v>
      </c>
      <c r="F123" s="89">
        <f>'Calcs Option 4'!F92</f>
        <v>0.7638888888888884</v>
      </c>
      <c r="G123" s="89">
        <f>'Calcs Option 4'!G92</f>
        <v>0.77291666666666614</v>
      </c>
      <c r="H123" s="89">
        <f>'Calcs Option 4'!I92</f>
        <v>0.79722222222222172</v>
      </c>
      <c r="I123" s="38"/>
      <c r="J123" s="125" t="s">
        <v>53</v>
      </c>
      <c r="K123" s="123">
        <f>'Calcs Option 4'!D92</f>
        <v>7</v>
      </c>
      <c r="M123" s="110">
        <f t="shared" ref="M123:M126" si="27">G123-F123</f>
        <v>9.0277777777777457E-3</v>
      </c>
      <c r="N123" s="110">
        <f t="shared" ref="N123:N126" si="28">H123-G123</f>
        <v>2.430555555555558E-2</v>
      </c>
    </row>
    <row r="124" spans="2:15" x14ac:dyDescent="0.25">
      <c r="B124" s="123">
        <f>'Calcs Option 4'!B93</f>
        <v>16</v>
      </c>
      <c r="C124" s="123">
        <f>'Calcs Option 4'!C93</f>
        <v>35</v>
      </c>
      <c r="D124" s="38"/>
      <c r="E124" s="41">
        <f>C124</f>
        <v>35</v>
      </c>
      <c r="F124" s="89">
        <f>'Calcs Option 4'!F93</f>
        <v>0.77083333333333282</v>
      </c>
      <c r="G124" s="89">
        <f>'Calcs Option 4'!G93</f>
        <v>0.77986111111111056</v>
      </c>
      <c r="H124" s="89">
        <f>'Calcs Option 4'!I93</f>
        <v>0.80416666666666614</v>
      </c>
      <c r="I124" s="38"/>
      <c r="J124" s="125" t="s">
        <v>53</v>
      </c>
      <c r="K124" s="123">
        <f>'Calcs Option 4'!D93</f>
        <v>9</v>
      </c>
      <c r="M124" s="110">
        <f t="shared" si="27"/>
        <v>9.0277777777777457E-3</v>
      </c>
      <c r="N124" s="110">
        <f t="shared" si="28"/>
        <v>2.430555555555558E-2</v>
      </c>
    </row>
    <row r="125" spans="2:15" x14ac:dyDescent="0.25">
      <c r="B125" s="123">
        <f>'Calcs Option 4'!B94</f>
        <v>12</v>
      </c>
      <c r="C125" s="123">
        <f>'Calcs Option 4'!C94</f>
        <v>36</v>
      </c>
      <c r="D125" s="38"/>
      <c r="E125" s="41">
        <f>C125</f>
        <v>36</v>
      </c>
      <c r="F125" s="89">
        <f>'Calcs Option 4'!F94</f>
        <v>0.78124999999999944</v>
      </c>
      <c r="G125" s="89">
        <f>'Calcs Option 4'!G94</f>
        <v>0.79027777777777719</v>
      </c>
      <c r="H125" s="89">
        <f>'Calcs Option 4'!I94</f>
        <v>0.81458333333333277</v>
      </c>
      <c r="I125" s="38"/>
      <c r="J125" s="125" t="s">
        <v>53</v>
      </c>
      <c r="K125" s="123">
        <f>'Calcs Option 4'!D94</f>
        <v>13</v>
      </c>
      <c r="M125" s="110">
        <f t="shared" si="27"/>
        <v>9.0277777777777457E-3</v>
      </c>
      <c r="N125" s="110">
        <f t="shared" si="28"/>
        <v>2.430555555555558E-2</v>
      </c>
    </row>
    <row r="126" spans="2:15" x14ac:dyDescent="0.25">
      <c r="B126" s="123">
        <f>'Calcs Option 4'!B95</f>
        <v>12</v>
      </c>
      <c r="C126" s="123">
        <f>'Calcs Option 4'!C95</f>
        <v>37</v>
      </c>
      <c r="D126" s="38"/>
      <c r="E126" s="41">
        <f>C126</f>
        <v>37</v>
      </c>
      <c r="F126" s="89">
        <f>'Calcs Option 4'!F95</f>
        <v>0.79166666666666607</v>
      </c>
      <c r="G126" s="89">
        <f>'Calcs Option 4'!G95</f>
        <v>0.80069444444444382</v>
      </c>
      <c r="H126" s="89">
        <f>'Calcs Option 4'!I95</f>
        <v>0.8249999999999994</v>
      </c>
      <c r="I126" s="38"/>
      <c r="J126" s="125" t="s">
        <v>53</v>
      </c>
      <c r="K126" s="123">
        <f>'Calcs Option 4'!D95</f>
        <v>17</v>
      </c>
      <c r="M126" s="110">
        <f t="shared" si="27"/>
        <v>9.0277777777777457E-3</v>
      </c>
      <c r="N126" s="110">
        <f t="shared" si="28"/>
        <v>2.430555555555558E-2</v>
      </c>
    </row>
    <row r="127" spans="2:15" x14ac:dyDescent="0.25">
      <c r="B127" s="123">
        <f>'Calcs Option 4'!B96</f>
        <v>12</v>
      </c>
      <c r="C127" s="123">
        <f>'Calcs Option 4'!C96</f>
        <v>38</v>
      </c>
      <c r="D127" s="38"/>
      <c r="E127" s="41">
        <f>C127</f>
        <v>38</v>
      </c>
      <c r="F127" s="89">
        <f>'Calcs Option 4'!F96</f>
        <v>0.81249999999999944</v>
      </c>
      <c r="G127" s="89">
        <f>'Calcs Option 4'!G96</f>
        <v>0.82152777777777719</v>
      </c>
      <c r="H127" s="89">
        <f>'Calcs Option 4'!I96</f>
        <v>0.84583333333333277</v>
      </c>
      <c r="I127" s="38"/>
      <c r="J127" s="39"/>
      <c r="K127" s="123">
        <f>'Calcs Option 4'!D96</f>
        <v>19</v>
      </c>
      <c r="M127" s="110">
        <f>G127-F127</f>
        <v>9.0277777777777457E-3</v>
      </c>
      <c r="N127" s="110">
        <f>H127-G127</f>
        <v>2.430555555555558E-2</v>
      </c>
      <c r="O127" s="111"/>
    </row>
    <row r="128" spans="2:15" x14ac:dyDescent="0.25">
      <c r="B128" s="123"/>
      <c r="C128" s="120" t="s">
        <v>47</v>
      </c>
      <c r="D128" s="125" t="s">
        <v>53</v>
      </c>
      <c r="E128" s="42"/>
      <c r="F128" s="90">
        <f>'Calcs Option 4'!L96</f>
        <v>0.88055555555555498</v>
      </c>
      <c r="G128" s="90"/>
      <c r="H128" s="91">
        <f>'Calcs Option 4'!K96</f>
        <v>0.84930555555555498</v>
      </c>
      <c r="I128" s="42" t="str">
        <f>C128</f>
        <v>R15</v>
      </c>
      <c r="J128" s="40"/>
      <c r="K128" s="123">
        <f>K127</f>
        <v>19</v>
      </c>
      <c r="M128" s="110"/>
      <c r="N128" s="110"/>
      <c r="O128" s="110">
        <f>F128-H128</f>
        <v>3.125E-2</v>
      </c>
    </row>
    <row r="129" spans="2:14" x14ac:dyDescent="0.25">
      <c r="B129" s="123">
        <f>'Calcs Option 4'!B97</f>
        <v>12</v>
      </c>
      <c r="C129" s="123">
        <f>'Calcs Option 4'!C97</f>
        <v>39</v>
      </c>
      <c r="D129" s="38"/>
      <c r="E129" s="41">
        <f>C129</f>
        <v>39</v>
      </c>
      <c r="F129" s="89">
        <f>'Calcs Option 4'!F97</f>
        <v>0.83333333333333282</v>
      </c>
      <c r="G129" s="89">
        <f>'Calcs Option 4'!G97</f>
        <v>0.84236111111111056</v>
      </c>
      <c r="H129" s="89">
        <f>'Calcs Option 4'!I97</f>
        <v>0.86666666666666614</v>
      </c>
      <c r="I129" s="38"/>
      <c r="J129" s="125" t="s">
        <v>53</v>
      </c>
      <c r="K129" s="123">
        <f>'Calcs Option 4'!D97</f>
        <v>3</v>
      </c>
      <c r="M129" s="110">
        <f t="shared" ref="M129:M131" si="29">G129-F129</f>
        <v>9.0277777777777457E-3</v>
      </c>
      <c r="N129" s="110">
        <f t="shared" ref="N129:N131" si="30">H129-G129</f>
        <v>2.430555555555558E-2</v>
      </c>
    </row>
    <row r="130" spans="2:14" x14ac:dyDescent="0.25">
      <c r="B130" s="123">
        <f>'Calcs Option 4'!B98</f>
        <v>12</v>
      </c>
      <c r="C130" s="123">
        <f>'Calcs Option 4'!C98</f>
        <v>40</v>
      </c>
      <c r="D130" s="38"/>
      <c r="E130" s="41">
        <f>C130</f>
        <v>40</v>
      </c>
      <c r="F130" s="89">
        <f>'Calcs Option 4'!F98</f>
        <v>0.85416666666666619</v>
      </c>
      <c r="G130" s="89">
        <f>'Calcs Option 4'!G98</f>
        <v>0.86319444444444393</v>
      </c>
      <c r="H130" s="89">
        <f>'Calcs Option 4'!I98</f>
        <v>0.88749999999999951</v>
      </c>
      <c r="I130" s="38"/>
      <c r="J130" s="125" t="s">
        <v>53</v>
      </c>
      <c r="K130" s="123">
        <f>'Calcs Option 4'!D98</f>
        <v>4</v>
      </c>
      <c r="M130" s="110">
        <f t="shared" si="29"/>
        <v>9.0277777777777457E-3</v>
      </c>
      <c r="N130" s="110">
        <f t="shared" si="30"/>
        <v>2.430555555555558E-2</v>
      </c>
    </row>
    <row r="131" spans="2:14" x14ac:dyDescent="0.25">
      <c r="B131" s="123">
        <f>'Calcs Option 4'!B99</f>
        <v>6</v>
      </c>
      <c r="C131" s="123">
        <f>'Calcs Option 4'!C99</f>
        <v>41</v>
      </c>
      <c r="D131" s="38"/>
      <c r="E131" s="41">
        <f>C131</f>
        <v>41</v>
      </c>
      <c r="F131" s="89">
        <f>'Calcs Option 4'!F99</f>
        <v>0.87499999999999956</v>
      </c>
      <c r="G131" s="89">
        <f>'Calcs Option 4'!G99</f>
        <v>0.8840277777777773</v>
      </c>
      <c r="H131" s="89">
        <f>'Calcs Option 4'!I99</f>
        <v>0.90833333333333288</v>
      </c>
      <c r="I131" s="38"/>
      <c r="J131" s="125" t="s">
        <v>53</v>
      </c>
      <c r="K131" s="123">
        <f>'Calcs Option 4'!D99</f>
        <v>6</v>
      </c>
      <c r="M131" s="110">
        <f t="shared" si="29"/>
        <v>9.0277777777777457E-3</v>
      </c>
      <c r="N131" s="110">
        <f t="shared" si="30"/>
        <v>2.430555555555558E-2</v>
      </c>
    </row>
    <row r="132" spans="2:14" x14ac:dyDescent="0.25">
      <c r="B132" s="126">
        <f>SUM(B76:B131)</f>
        <v>810</v>
      </c>
      <c r="C132" s="127"/>
      <c r="D132" s="127" t="s">
        <v>68</v>
      </c>
      <c r="E132" s="120"/>
      <c r="F132" s="120"/>
      <c r="G132" s="120"/>
      <c r="H132" s="120"/>
      <c r="I132" s="120"/>
      <c r="J132" s="120"/>
      <c r="K132" s="120"/>
    </row>
    <row r="133" spans="2:14" x14ac:dyDescent="0.25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</row>
    <row r="134" spans="2:14" x14ac:dyDescent="0.25">
      <c r="B134" s="128">
        <f>B132+B73+B59</f>
        <v>1708</v>
      </c>
      <c r="C134" s="127"/>
      <c r="D134" s="127" t="s">
        <v>67</v>
      </c>
      <c r="E134" s="120"/>
      <c r="F134" s="120"/>
      <c r="G134" s="120"/>
      <c r="H134" s="120"/>
      <c r="I134" s="120"/>
      <c r="J134" s="120"/>
      <c r="K134" s="120"/>
    </row>
    <row r="135" spans="2:14" x14ac:dyDescent="0.25">
      <c r="B135" s="3"/>
    </row>
    <row r="136" spans="2:14" x14ac:dyDescent="0.25">
      <c r="B136" s="3"/>
    </row>
    <row r="137" spans="2:14" x14ac:dyDescent="0.25">
      <c r="B137" s="3"/>
    </row>
    <row r="138" spans="2:14" x14ac:dyDescent="0.25">
      <c r="B138" s="3"/>
    </row>
    <row r="139" spans="2:14" x14ac:dyDescent="0.25">
      <c r="B139" s="46"/>
    </row>
    <row r="140" spans="2:14" x14ac:dyDescent="0.25">
      <c r="B140" s="3"/>
    </row>
    <row r="141" spans="2:14" x14ac:dyDescent="0.25">
      <c r="B141" s="3"/>
    </row>
    <row r="142" spans="2:14" x14ac:dyDescent="0.25">
      <c r="B142" s="3"/>
    </row>
    <row r="143" spans="2:14" x14ac:dyDescent="0.25">
      <c r="B143" s="3"/>
    </row>
    <row r="144" spans="2:14" x14ac:dyDescent="0.25">
      <c r="B144" s="47"/>
    </row>
  </sheetData>
  <pageMargins left="0.7" right="0.7" top="0.75" bottom="0.75" header="0.3" footer="0.3"/>
  <pageSetup scale="73" fitToHeight="3" orientation="portrait" r:id="rId1"/>
  <rowBreaks count="1" manualBreakCount="1">
    <brk id="73" max="16383" man="1"/>
  </rowBreaks>
  <colBreaks count="1" manualBreakCount="1">
    <brk id="1" max="1048575" man="1"/>
  </colBreaks>
  <ignoredErrors>
    <ignoredError sqref="K6 K89 K87 K85 K83 K128 K119 K92 K77 K42 K36 K23 K19 K16 K14 K12 K10 D7:K9 D11:K11 D10:J10 D13:K13 D12:J12 D15:K15 D14:J14 D17:K18 D16:J16 D20:K22 D19:J19 D24:K35 D23:J23 D37:K41 D36:J36 D43:K76 D42:J42 D78:K82 D77:J77 D93:K118 D92:J92 D120:K127 D119:J119 D129:K131 D128:J128 D84:K84 D83:J83 D86:K86 D85:J85 D88:K88 D87:J87 D90:K91 D89:J8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Calcs Option 4</vt:lpstr>
      <vt:lpstr>Illustration</vt:lpstr>
      <vt:lpstr>'Calcs Option 4'!_ftn1</vt:lpstr>
      <vt:lpstr>'Calcs Option 4'!_ftnref1</vt:lpstr>
      <vt:lpstr>'Calcs Option 4'!Print_Area</vt:lpstr>
      <vt:lpstr>Illustration!Print_Area</vt:lpstr>
      <vt:lpstr>Illustration!Print_Titles</vt:lpstr>
    </vt:vector>
  </TitlesOfParts>
  <Company>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Cherrington, Linda</dc:creator>
  <cp:lastModifiedBy>Koff, Russell P.</cp:lastModifiedBy>
  <cp:lastPrinted>2018-10-10T23:27:12Z</cp:lastPrinted>
  <dcterms:created xsi:type="dcterms:W3CDTF">2013-02-09T23:17:19Z</dcterms:created>
  <dcterms:modified xsi:type="dcterms:W3CDTF">2018-10-29T22:04:46Z</dcterms:modified>
</cp:coreProperties>
</file>