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Gellhorn (N-2016T-0015)\"/>
    </mc:Choice>
  </mc:AlternateContent>
  <xr:revisionPtr revIDLastSave="0" documentId="10_ncr:100000_{13E1D232-CCD4-44B2-A518-D670E215E0DB}" xr6:coauthVersionLast="31" xr6:coauthVersionMax="31" xr10:uidLastSave="{00000000-0000-0000-0000-000000000000}"/>
  <bookViews>
    <workbookView xWindow="0" yWindow="0" windowWidth="22230" windowHeight="823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Outputs'!$B$2:$H$38</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<sst xmlns="http://schemas.openxmlformats.org/spreadsheetml/2006/main" count="440" uniqueCount="285">
  <si>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</si>
  <si>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</si>
  <si>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</si>
  <si>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</si>
  <si>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</si>
  <si>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</si>
  <si>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</si>
  <si>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</si>
  <si>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</si>
  <si>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</si>
  <si>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</si>
  <si>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</si>
  <si>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</si>
  <si>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</si>
  <si>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</si>
  <si>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</si>
  <si>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</si>
  <si>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</si>
  <si>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</si>
  <si>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</si>
  <si>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</si>
  <si>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</si>
  <si>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</si>
  <si>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</si>
  <si>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</si>
  <si>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</si>
  <si>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</si>
  <si>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</si>
  <si>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</si>
  <si>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</si>
  <si>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</si>
  <si>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</si>
  <si>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</si>
  <si>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</si>
  <si>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</si>
  <si>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</si>
  <si>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</si>
  <si>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</si>
  <si>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</si>
  <si>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</si>
  <si>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</si>
  <si>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</si>
  <si>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</si>
  <si>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</si>
  <si>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</si>
  <si>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</si>
  <si>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</si>
  <si>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</si>
  <si>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</si>
  <si>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</si>
  <si>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</si>
  <si>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</si>
  <si>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</si>
  <si>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</si>
  <si>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</si>
  <si>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</si>
  <si>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</si>
  <si>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</si>
  <si>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</si>
  <si>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</si>
  <si>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</si>
  <si>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</si>
  <si>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</si>
  <si>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</si>
  <si>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</si>
  <si>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</si>
  <si>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</si>
  <si>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</si>
  <si>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</si>
  <si>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</si>
  <si>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</si>
  <si>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</si>
  <si>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</si>
  <si>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</si>
  <si>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</si>
  <si>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</si>
  <si>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</si>
  <si>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</si>
  <si>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</si>
  <si>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</si>
  <si>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</si>
  <si>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</si>
  <si>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</si>
  <si>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</si>
  <si>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</si>
  <si>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</si>
  <si>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</si>
  <si>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</si>
  <si>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</si>
  <si>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</si>
  <si>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</si>
  <si>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</si>
  <si>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</si>
  <si>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</si>
  <si>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</si>
  <si>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</si>
  <si>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</si>
  <si>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</si>
  <si>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</si>
  <si>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</si>
  <si>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</si>
  <si>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</si>
  <si>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</si>
  <si>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</si>
  <si>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</si>
  <si>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</si>
  <si>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</si>
  <si>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</si>
  <si>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</si>
  <si>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</si>
  <si>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</si>
  <si>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</si>
  <si>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</si>
  <si>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</si>
  <si>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</si>
  <si>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</si>
  <si>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</si>
  <si>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</si>
  <si>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</si>
  <si>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</si>
  <si>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</si>
  <si>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</si>
  <si>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</si>
  <si>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</si>
  <si>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</si>
  <si>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</si>
  <si>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</si>
  <si>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</si>
  <si>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</si>
  <si>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</si>
  <si>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</si>
  <si>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</si>
  <si>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</si>
  <si>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</si>
  <si>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</si>
  <si>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</si>
  <si>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</si>
  <si>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</si>
  <si>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</si>
  <si>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</si>
  <si>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</si>
  <si>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</si>
  <si>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</si>
  <si>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</si>
  <si>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</si>
  <si>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</si>
  <si>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</si>
  <si>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</si>
  <si>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</si>
  <si>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</si>
  <si>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</si>
  <si>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</si>
  <si>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</si>
  <si>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</si>
  <si>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</si>
  <si>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</si>
  <si>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</si>
  <si>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</si>
  <si>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</si>
  <si>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</si>
  <si>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</si>
  <si>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</si>
  <si>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</si>
  <si>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</si>
  <si>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</si>
  <si>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</si>
  <si>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</si>
  <si>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</si>
  <si>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</si>
  <si>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</si>
  <si>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</si>
  <si>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</si>
  <si>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</si>
  <si>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</si>
  <si>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</si>
  <si>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</si>
  <si>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</si>
  <si>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</si>
  <si>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</si>
  <si>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</si>
  <si>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</si>
  <si>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</si>
  <si>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</si>
  <si>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</si>
  <si>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</si>
  <si>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</si>
  <si>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</si>
  <si>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</si>
  <si>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</si>
  <si>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</si>
  <si>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</si>
  <si>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</si>
  <si>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</si>
  <si>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</si>
  <si>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</si>
  <si>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</si>
  <si>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</si>
  <si>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</si>
  <si>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</si>
  <si>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</si>
  <si>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</si>
  <si>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</si>
  <si>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</si>
  <si>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</si>
  <si>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</si>
  <si>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</si>
  <si>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</si>
  <si>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</si>
  <si>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</si>
  <si>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</si>
  <si>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</si>
  <si>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</si>
  <si>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</si>
  <si>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</si>
  <si>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</si>
  <si>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</si>
  <si>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</si>
  <si>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</si>
  <si>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</si>
  <si>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</si>
  <si>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</si>
  <si>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</si>
  <si>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</si>
  <si>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</si>
  <si>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</si>
  <si>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</si>
  <si>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</si>
  <si>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</si>
  <si>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</si>
  <si>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</si>
  <si>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</si>
  <si>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</si>
  <si>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</si>
  <si>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</si>
  <si>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</si>
  <si>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</si>
  <si>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</si>
  <si>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</si>
  <si>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</si>
  <si>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</si>
  <si>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</si>
  <si>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</si>
  <si>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</si>
  <si>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</si>
  <si>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</si>
  <si>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</si>
  <si>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</si>
  <si>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</si>
  <si>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</si>
  <si>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</si>
  <si>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</si>
  <si>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</si>
  <si>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</si>
  <si>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</si>
  <si>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</si>
  <si>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</si>
  <si>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</si>
  <si>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</si>
  <si>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</si>
  <si>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</si>
  <si>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</si>
  <si>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</si>
  <si>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</si>
  <si>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</si>
  <si>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</si>
  <si>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</si>
  <si>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</si>
  <si>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</si>
  <si>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</si>
  <si>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</si>
  <si>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</si>
  <si>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</si>
  <si>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</si>
  <si>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</si>
  <si>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</si>
  <si>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</si>
  <si>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</si>
  <si>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</si>
  <si>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</si>
  <si>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</si>
  <si>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</si>
  <si>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Gelhorn</t>
  </si>
  <si>
    <t>Gelhron Drive</t>
  </si>
  <si>
    <t>IH610</t>
  </si>
  <si>
    <t>IH10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</si>
</sst>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F42" sqref="F4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284</v>
      </c>
      <c r="D10" s="64"/>
      <c r="E10" s="9"/>
      <c r="F10" t="s">
        <v>258</v>
      </c>
    </row>
    <row r="11" spans="2:19" x14ac:dyDescent="0.25">
      <c r="B11" s="4" t="s">
        <v>115</v>
      </c>
      <c r="C11" s="121" t="s">
        <v>283</v>
      </c>
      <c r="D11" s="64"/>
    </row>
    <row r="12" spans="2:19" x14ac:dyDescent="0.25">
      <c r="B12" s="4" t="s">
        <v>116</v>
      </c>
      <c r="C12" s="121">
        <v>0.7</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ht="30" x14ac:dyDescent="0.25">
      <c r="B18" s="4" t="s">
        <v>259</v>
      </c>
      <c r="C18" s="120" t="s">
        <v>242</v>
      </c>
      <c r="D18" s="26"/>
    </row>
    <row r="19" spans="2:13" x14ac:dyDescent="0.25">
      <c r="B19" s="122" t="s">
        <v>251</v>
      </c>
      <c r="C19" s="174">
        <f>VLOOKUP(C18,'CRF Lookup Table'!C3:F84,2, FALSE)</f>
        <v>305</v>
      </c>
      <c r="D19" s="97"/>
    </row>
    <row r="20" spans="2:13" x14ac:dyDescent="0.25">
      <c r="B20" s="122" t="s">
        <v>102</v>
      </c>
      <c r="C20" s="175">
        <f>VLOOKUP(C18,'CRF Lookup Table'!C3:F84,3, FALSE)</f>
        <v>0.75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6651</v>
      </c>
      <c r="D25" s="99"/>
      <c r="I25" s="49"/>
    </row>
    <row r="26" spans="2:13" x14ac:dyDescent="0.25">
      <c r="I26" s="49"/>
    </row>
    <row r="27" spans="2:13" x14ac:dyDescent="0.25">
      <c r="B27" s="86" t="s">
        <v>269</v>
      </c>
      <c r="C27" s="87">
        <v>3263</v>
      </c>
      <c r="D27" s="99"/>
      <c r="I27" s="49"/>
    </row>
    <row r="28" spans="2:13" x14ac:dyDescent="0.25">
      <c r="B28" s="86" t="s">
        <v>150</v>
      </c>
      <c r="C28" s="87">
        <v>23352</v>
      </c>
      <c r="D28" s="99"/>
      <c r="I28" s="49"/>
    </row>
    <row r="29" spans="2:13" x14ac:dyDescent="0.25">
      <c r="B29" s="86" t="s">
        <v>270</v>
      </c>
      <c r="C29" s="88">
        <v>4658</v>
      </c>
      <c r="D29" s="69"/>
      <c r="I29" s="49"/>
    </row>
    <row r="30" spans="2:13" x14ac:dyDescent="0.25">
      <c r="B30" s="86" t="s">
        <v>151</v>
      </c>
      <c r="C30" s="88">
        <v>23352</v>
      </c>
      <c r="D30" s="69"/>
      <c r="I30" s="49"/>
    </row>
    <row r="31" spans="2:13" x14ac:dyDescent="0.25">
      <c r="B31" s="86" t="s">
        <v>271</v>
      </c>
      <c r="C31" s="87">
        <v>5800</v>
      </c>
      <c r="D31" s="99"/>
      <c r="H31" s="70"/>
    </row>
    <row r="32" spans="2:13" x14ac:dyDescent="0.25">
      <c r="B32" s="86" t="s">
        <v>152</v>
      </c>
      <c r="C32" s="87">
        <v>23352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4470.7976619534675</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9494.4400858106037</v>
      </c>
      <c r="G4" s="183" t="s">
        <v>260</v>
      </c>
      <c r="H4" s="183"/>
      <c r="I4" s="183"/>
      <c r="J4" s="183"/>
      <c r="L4" s="136"/>
      <c r="M4" s="137">
        <v>2018</v>
      </c>
      <c r="N4" s="138">
        <f>_2018_Volume_ADT</f>
        <v>6651</v>
      </c>
      <c r="O4" s="139" t="s">
        <v>85</v>
      </c>
      <c r="P4" s="140">
        <f>MIN(B12,1)</f>
        <v>0.13973107228502912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6646.1080600674222</v>
      </c>
      <c r="G5" s="184" t="s">
        <v>261</v>
      </c>
      <c r="H5" s="184"/>
      <c r="I5" s="184"/>
      <c r="J5" s="143">
        <f>SUMPRODUCT(Possible_Crash_Reductions,'Value of Statistical Life'!E5:E11)</f>
        <v>690852.97382884519</v>
      </c>
      <c r="L5" s="136"/>
      <c r="M5" s="144">
        <f t="shared" ref="M5:M36" si="1">M4+1</f>
        <v>2019</v>
      </c>
      <c r="N5" s="145">
        <f>N4+(N4*O5)</f>
        <v>6997.9389490629737</v>
      </c>
      <c r="O5" s="146">
        <f t="shared" ref="O5:O11" si="2">IF(ISERROR(_2025_2045_Demand_Growth),_2018_2045_Demand_Growth,_2018_2025_Demand_Growth)</f>
        <v>5.216342641151317E-2</v>
      </c>
      <c r="P5" s="147">
        <f t="shared" ref="P5:P11" si="3">P4*(1+IFERROR(_2018_2025_V_C_Growth,_2018_2045_V_C_Growth))</f>
        <v>0.14701992379157106</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1727988.0956175297</v>
      </c>
      <c r="L6" s="136"/>
      <c r="M6" s="137">
        <f t="shared" si="1"/>
        <v>2020</v>
      </c>
      <c r="N6" s="145">
        <f t="shared" ref="N6:N36" si="6">N5+(N5*O6)</f>
        <v>7362.9754224646822</v>
      </c>
      <c r="O6" s="146">
        <f t="shared" si="2"/>
        <v>5.216342641151317E-2</v>
      </c>
      <c r="P6" s="147">
        <f t="shared" si="3"/>
        <v>0.15468898676729895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7747.0534490841983</v>
      </c>
      <c r="O7" s="146">
        <f t="shared" si="2"/>
        <v>5.216342641151317E-2</v>
      </c>
      <c r="P7" s="147">
        <f t="shared" si="3"/>
        <v>0.16275809434520647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8151.1663015815611</v>
      </c>
      <c r="O8" s="146">
        <f t="shared" si="2"/>
        <v>5.216342641151317E-2</v>
      </c>
      <c r="P8" s="147">
        <f t="shared" si="3"/>
        <v>0.17124811422246075</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5.216342641151317E-2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8576.3590651221166</v>
      </c>
      <c r="O9" s="146">
        <f t="shared" si="2"/>
        <v>5.216342641151317E-2</v>
      </c>
      <c r="P9" s="147">
        <f t="shared" si="3"/>
        <v>0.1801810026268145</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1.1023907668779254E-2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9023.7313400943276</v>
      </c>
      <c r="O10" s="146">
        <f t="shared" si="2"/>
        <v>5.216342641151317E-2</v>
      </c>
      <c r="P10" s="147">
        <f t="shared" si="3"/>
        <v>0.189579861098091</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2.1532660052580921E-2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9494.4400858106037</v>
      </c>
      <c r="O11" s="146">
        <f t="shared" si="2"/>
        <v>5.216342641151317E-2</v>
      </c>
      <c r="P11" s="147">
        <f t="shared" si="3"/>
        <v>0.19946899623158615</v>
      </c>
      <c r="Q11" s="148">
        <f t="shared" si="4"/>
        <v>1</v>
      </c>
      <c r="R11" s="37">
        <f>IF(M11=Year_Open_to_Traffic?,Calculations!$J$5,Calculations!R10+(Calculations!R10*Calculations!O11*Q11))</f>
        <v>690852.97382884519</v>
      </c>
      <c r="S11" s="54">
        <f t="shared" si="0"/>
        <v>1</v>
      </c>
      <c r="T11" s="37">
        <f t="shared" si="5"/>
        <v>690.85297382884517</v>
      </c>
      <c r="U11" s="142">
        <f>T11/(1+Real_Discount_Rate)^(Calculations!M11-'Assumed Values'!$C$5)</f>
        <v>430.2285111321155</v>
      </c>
    </row>
    <row r="12" spans="1:21" ht="15.75" x14ac:dyDescent="0.25">
      <c r="A12" s="152" t="s">
        <v>75</v>
      </c>
      <c r="B12" s="156">
        <f>'Inputs &amp; Outputs'!C27/_2018_Peak_Period_Capacity</f>
        <v>0.13973107228502912</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9599.1059166833365</v>
      </c>
      <c r="O12" s="146">
        <f t="shared" ref="O12:O36" si="7">IFERROR(_2025_2045_Demand_Growth,_2018_2045_Demand_Growth)</f>
        <v>1.1023907668779254E-2</v>
      </c>
      <c r="P12" s="147">
        <f t="shared" ref="P12:P36" si="8">P11*(1+IFERROR(_2025_2040_V_C_Growth,_2018_2045_V_C_Growth))</f>
        <v>0.20166792402882724</v>
      </c>
      <c r="Q12" s="148">
        <f t="shared" si="4"/>
        <v>1</v>
      </c>
      <c r="R12" s="37">
        <f>IF(M12=Year_Open_to_Traffic?,Calculations!$J$5,Calculations!R11+(Calculations!R11*Calculations!O12*Q12))</f>
        <v>698468.87322503596</v>
      </c>
      <c r="S12" s="54">
        <f t="shared" si="0"/>
        <v>1</v>
      </c>
      <c r="T12" s="37">
        <f t="shared" si="5"/>
        <v>698.46887322503596</v>
      </c>
      <c r="U12" s="142">
        <f>T12/(1+Real_Discount_Rate)^(Calculations!M12-'Assumed Values'!$C$5)</f>
        <v>406.51524347225455</v>
      </c>
    </row>
    <row r="13" spans="1:21" ht="15.75" x14ac:dyDescent="0.25">
      <c r="A13" s="152" t="s">
        <v>74</v>
      </c>
      <c r="B13" s="156">
        <f>_2025_Peak_Period_Volume/_2025_Peak_Period_Capacity</f>
        <v>0.19946899623158615</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9704.925574011686</v>
      </c>
      <c r="O13" s="146">
        <f t="shared" si="7"/>
        <v>1.1023907668779254E-2</v>
      </c>
      <c r="P13" s="147">
        <f t="shared" si="8"/>
        <v>0.20389109260307542</v>
      </c>
      <c r="Q13" s="148">
        <f t="shared" si="4"/>
        <v>1</v>
      </c>
      <c r="R13" s="37">
        <f>IF(M13=Year_Open_to_Traffic?,Calculations!$J$5,Calculations!R12+(Calculations!R12*Calculations!O13*Q13))</f>
        <v>706168.72959298501</v>
      </c>
      <c r="S13" s="54">
        <f t="shared" si="0"/>
        <v>1</v>
      </c>
      <c r="T13" s="37">
        <f t="shared" si="5"/>
        <v>706.16872959298496</v>
      </c>
      <c r="U13" s="142">
        <f>T13/(1+Real_Discount_Rate)^(Calculations!M13-'Assumed Values'!$C$5)</f>
        <v>384.10899998340551</v>
      </c>
    </row>
    <row r="14" spans="1:21" ht="15.75" x14ac:dyDescent="0.25">
      <c r="A14" s="152" t="s">
        <v>148</v>
      </c>
      <c r="B14" s="156">
        <f>_2045_Peak_Period_Volume/_2045_Peak_Period_Capacity</f>
        <v>0.24837273038711888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9811.9117774719653</v>
      </c>
      <c r="O14" s="146">
        <f t="shared" si="7"/>
        <v>1.1023907668779254E-2</v>
      </c>
      <c r="P14" s="147">
        <f>P13*(1+IFERROR(_2025_2040_V_C_Growth,_2018_2045_V_C_Growth))</f>
        <v>0.20613876918241825</v>
      </c>
      <c r="Q14" s="148">
        <f t="shared" si="4"/>
        <v>1</v>
      </c>
      <c r="R14" s="37">
        <f>IF(M14=Year_Open_to_Traffic?,Calculations!$J$5,Calculations!R13+(Calculations!R13*Calculations!O14*Q14))</f>
        <v>713953.46846659726</v>
      </c>
      <c r="S14" s="54">
        <f t="shared" si="0"/>
        <v>1</v>
      </c>
      <c r="T14" s="37">
        <f t="shared" si="5"/>
        <v>713.95346846659731</v>
      </c>
      <c r="U14" s="142">
        <f>T14/(1+Real_Discount_Rate)^(Calculations!M14-'Assumed Values'!$C$5)</f>
        <v>362.93774031212132</v>
      </c>
    </row>
    <row r="15" spans="1:21" ht="15.75" x14ac:dyDescent="0.25">
      <c r="A15" s="152" t="s">
        <v>80</v>
      </c>
      <c r="B15" s="153">
        <f>(B13/B12)^(1/(2025-2018))-1</f>
        <v>5.216342641151317E-2</v>
      </c>
      <c r="L15" s="136"/>
      <c r="M15" s="144">
        <f>M14+1</f>
        <v>2029</v>
      </c>
      <c r="N15" s="145">
        <f t="shared" si="6"/>
        <v>9920.0773869610239</v>
      </c>
      <c r="O15" s="146">
        <f t="shared" si="7"/>
        <v>1.1023907668779254E-2</v>
      </c>
      <c r="P15" s="147">
        <f>P14*(1+IFERROR(_2025_2040_V_C_Growth,_2018_2045_V_C_Growth))</f>
        <v>0.20841122394084102</v>
      </c>
      <c r="Q15" s="148">
        <f t="shared" si="4"/>
        <v>1</v>
      </c>
      <c r="R15" s="37">
        <f>IF(M15=Year_Open_to_Traffic?,Calculations!$J$5,Calculations!R14+(Calculations!R14*Calculations!O15*Q15))</f>
        <v>721824.02558277769</v>
      </c>
      <c r="S15" s="54">
        <f t="shared" si="0"/>
        <v>1</v>
      </c>
      <c r="T15" s="37">
        <f t="shared" si="5"/>
        <v>721.82402558277772</v>
      </c>
      <c r="U15" s="142">
        <f>T15/(1+Real_Discount_Rate)^(Calculations!M15-'Assumed Values'!$C$5)</f>
        <v>342.93339481386676</v>
      </c>
    </row>
    <row r="16" spans="1:21" ht="15.75" x14ac:dyDescent="0.25">
      <c r="A16" s="152" t="s">
        <v>108</v>
      </c>
      <c r="B16" s="153">
        <f>(B14/B13)^(1/(2045-2025))-1</f>
        <v>1.1023907668779254E-2</v>
      </c>
      <c r="D16" s="157" t="s">
        <v>136</v>
      </c>
      <c r="E16" s="151"/>
      <c r="L16" s="136"/>
      <c r="M16" s="137">
        <f t="shared" si="1"/>
        <v>2030</v>
      </c>
      <c r="N16" s="145">
        <f t="shared" si="6"/>
        <v>10029.435404142027</v>
      </c>
      <c r="O16" s="146">
        <f t="shared" si="7"/>
        <v>1.1023907668779254E-2</v>
      </c>
      <c r="P16" s="147">
        <f t="shared" si="8"/>
        <v>0.21070873003070212</v>
      </c>
      <c r="Q16" s="148">
        <f t="shared" si="4"/>
        <v>1</v>
      </c>
      <c r="R16" s="37">
        <f>IF(M16=Year_Open_to_Traffic?,Calculations!$J$5,Calculations!R15+(Calculations!R15*Calculations!O16*Q16))</f>
        <v>729781.34699390875</v>
      </c>
      <c r="S16" s="54">
        <f t="shared" si="0"/>
        <v>1</v>
      </c>
      <c r="T16" s="37">
        <f t="shared" si="5"/>
        <v>729.78134699390876</v>
      </c>
      <c r="U16" s="142">
        <f>T16/(1+Real_Discount_Rate)^(Calculations!M16-'Assumed Values'!$C$5)</f>
        <v>324.03164569610828</v>
      </c>
    </row>
    <row r="17" spans="1:21" ht="15.75" x14ac:dyDescent="0.25">
      <c r="A17" s="152" t="s">
        <v>109</v>
      </c>
      <c r="B17" s="153">
        <f>(B14/B12)^(1/(2045-2018))-1</f>
        <v>2.1532660052580921E-2</v>
      </c>
      <c r="D17" s="152" t="s">
        <v>89</v>
      </c>
      <c r="E17" s="158">
        <f>($E$6*Death_Rate)/100000000</f>
        <v>3.0163313598208827E-2</v>
      </c>
      <c r="L17" s="136"/>
      <c r="M17" s="144">
        <f t="shared" si="1"/>
        <v>2031</v>
      </c>
      <c r="N17" s="145">
        <f t="shared" si="6"/>
        <v>10139.998974007274</v>
      </c>
      <c r="O17" s="146">
        <f t="shared" si="7"/>
        <v>1.1023907668779254E-2</v>
      </c>
      <c r="P17" s="147">
        <f t="shared" si="8"/>
        <v>0.2130315636155663</v>
      </c>
      <c r="Q17" s="148">
        <f t="shared" si="4"/>
        <v>1</v>
      </c>
      <c r="R17" s="37">
        <f>IF(M17=Year_Open_to_Traffic?,Calculations!$J$5,Calculations!R16+(Calculations!R16*Calculations!O17*Q17))</f>
        <v>737826.38918156701</v>
      </c>
      <c r="S17" s="54">
        <f t="shared" si="0"/>
        <v>1</v>
      </c>
      <c r="T17" s="37">
        <f t="shared" si="5"/>
        <v>737.82638918156704</v>
      </c>
      <c r="U17" s="142">
        <f>T17/(1+Real_Discount_Rate)^(Calculations!M17-'Assumed Values'!$C$5)</f>
        <v>306.17172022432226</v>
      </c>
    </row>
    <row r="18" spans="1:21" ht="15.75" x14ac:dyDescent="0.25">
      <c r="D18" s="152" t="s">
        <v>94</v>
      </c>
      <c r="E18" s="158">
        <f>($E$6*Incap_Injry_Rate)/100000000</f>
        <v>0.15247068518836529</v>
      </c>
      <c r="L18" s="136"/>
      <c r="M18" s="137">
        <f t="shared" si="1"/>
        <v>2032</v>
      </c>
      <c r="N18" s="145">
        <f t="shared" si="6"/>
        <v>10251.781386458248</v>
      </c>
      <c r="O18" s="146">
        <f t="shared" si="7"/>
        <v>1.1023907668779254E-2</v>
      </c>
      <c r="P18" s="147">
        <f t="shared" si="8"/>
        <v>0.21538000390339998</v>
      </c>
      <c r="Q18" s="148">
        <f t="shared" si="4"/>
        <v>1</v>
      </c>
      <c r="R18" s="37">
        <f>IF(M18=Year_Open_to_Traffic?,Calculations!$J$5,Calculations!R17+(Calculations!R17*Calculations!O18*Q18))</f>
        <v>745960.11917149334</v>
      </c>
      <c r="S18" s="54">
        <f t="shared" si="0"/>
        <v>1</v>
      </c>
      <c r="T18" s="37">
        <f t="shared" si="5"/>
        <v>745.96011917149337</v>
      </c>
      <c r="U18" s="142">
        <f>T18/(1+Real_Discount_Rate)^(Calculations!M18-'Assumed Values'!$C$5)</f>
        <v>289.29619532604346</v>
      </c>
    </row>
    <row r="19" spans="1:21" ht="15.75" x14ac:dyDescent="0.25">
      <c r="D19" s="152" t="s">
        <v>93</v>
      </c>
      <c r="E19" s="158">
        <f>($E$6*Nonincap_Injry_Rate)/100000000</f>
        <v>0.86023824361859424</v>
      </c>
      <c r="L19" s="136"/>
      <c r="M19" s="144">
        <f t="shared" si="1"/>
        <v>2033</v>
      </c>
      <c r="N19" s="145">
        <f t="shared" si="6"/>
        <v>10364.796077903073</v>
      </c>
      <c r="O19" s="146">
        <f t="shared" si="7"/>
        <v>1.1023907668779254E-2</v>
      </c>
      <c r="P19" s="147">
        <f t="shared" si="8"/>
        <v>0.21775433318013238</v>
      </c>
      <c r="Q19" s="148">
        <f t="shared" si="4"/>
        <v>1</v>
      </c>
      <c r="R19" s="37">
        <f>IF(M19=Year_Open_to_Traffic?,Calculations!$J$5,Calculations!R18+(Calculations!R18*Calculations!O19*Q19))</f>
        <v>754183.51464983146</v>
      </c>
      <c r="S19" s="54">
        <f t="shared" si="0"/>
        <v>1</v>
      </c>
      <c r="T19" s="37">
        <f t="shared" si="5"/>
        <v>754.18351464983141</v>
      </c>
      <c r="U19" s="142">
        <f>T19/(1+Real_Discount_Rate)^(Calculations!M19-'Assumed Values'!$C$5)</f>
        <v>273.35081296471662</v>
      </c>
    </row>
    <row r="20" spans="1:21" ht="15.75" x14ac:dyDescent="0.25">
      <c r="D20" s="152" t="s">
        <v>92</v>
      </c>
      <c r="E20" s="158">
        <f>($E$6*Poss_Injry_Rate/100000000)</f>
        <v>2.1475306271808616</v>
      </c>
      <c r="L20" s="136"/>
      <c r="M20" s="137">
        <f t="shared" si="1"/>
        <v>2034</v>
      </c>
      <c r="N20" s="145">
        <f t="shared" si="6"/>
        <v>10479.056632871601</v>
      </c>
      <c r="O20" s="146">
        <f t="shared" si="7"/>
        <v>1.1023907668779254E-2</v>
      </c>
      <c r="P20" s="147">
        <f t="shared" si="8"/>
        <v>0.22015483684358675</v>
      </c>
      <c r="Q20" s="148">
        <f t="shared" si="4"/>
        <v>1</v>
      </c>
      <c r="R20" s="37">
        <f>IF(M20=Year_Open_to_Traffic?,Calculations!$J$5,Calculations!R19+(Calculations!R19*Calculations!O20*Q20))</f>
        <v>762497.56408064661</v>
      </c>
      <c r="S20" s="54">
        <f t="shared" si="0"/>
        <v>1</v>
      </c>
      <c r="T20" s="37">
        <f t="shared" si="5"/>
        <v>762.49756408064661</v>
      </c>
      <c r="U20" s="142">
        <f>T20/(1+Real_Discount_Rate)^(Calculations!M20-'Assumed Values'!$C$5)</f>
        <v>258.28430568974346</v>
      </c>
    </row>
    <row r="21" spans="1:21" ht="15.75" x14ac:dyDescent="0.25">
      <c r="D21" s="152" t="s">
        <v>91</v>
      </c>
      <c r="E21" s="158">
        <f>($E$6*Non_Injry_Rate)/100000000</f>
        <v>16.651900524420203</v>
      </c>
      <c r="L21" s="136"/>
      <c r="M21" s="144">
        <f>M20+1</f>
        <v>2035</v>
      </c>
      <c r="N21" s="145">
        <f t="shared" si="6"/>
        <v>10594.576785648287</v>
      </c>
      <c r="O21" s="146">
        <f t="shared" si="7"/>
        <v>1.1023907668779254E-2</v>
      </c>
      <c r="P21" s="147">
        <f>P20*(1+IFERROR(_2025_2040_V_C_Growth,_2018_2045_V_C_Growth))</f>
        <v>0.22258180343778561</v>
      </c>
      <c r="Q21" s="148">
        <f t="shared" si="4"/>
        <v>1</v>
      </c>
      <c r="R21" s="37">
        <f>IF(M21=Year_Open_to_Traffic?,Calculations!$J$5,Calculations!R20+(Calculations!R20*Calculations!O21*Q21))</f>
        <v>770903.2668247408</v>
      </c>
      <c r="S21" s="54">
        <f t="shared" si="0"/>
        <v>1</v>
      </c>
      <c r="T21" s="37">
        <f t="shared" si="5"/>
        <v>770.90326682474085</v>
      </c>
      <c r="U21" s="142">
        <f>T21/(1+Real_Discount_Rate)^(Calculations!M21-'Assumed Values'!$C$5)</f>
        <v>244.04823180183359</v>
      </c>
    </row>
    <row r="22" spans="1:21" ht="15.75" x14ac:dyDescent="0.25">
      <c r="D22" s="152" t="s">
        <v>90</v>
      </c>
      <c r="E22" s="158">
        <f>($E$6*Unkn_Injry_Rate)/100000000</f>
        <v>1.4449200223658101</v>
      </c>
      <c r="L22" s="136"/>
      <c r="M22" s="137">
        <f>M21+1</f>
        <v>2036</v>
      </c>
      <c r="N22" s="145">
        <f t="shared" si="6"/>
        <v>10711.370421923066</v>
      </c>
      <c r="O22" s="146">
        <f t="shared" si="7"/>
        <v>1.1023907668779254E-2</v>
      </c>
      <c r="P22" s="147">
        <f t="shared" si="8"/>
        <v>0.22503552468763413</v>
      </c>
      <c r="Q22" s="148">
        <f t="shared" si="4"/>
        <v>1</v>
      </c>
      <c r="R22" s="37">
        <f>IF(M22=Year_Open_to_Traffic?,Calculations!$J$5,Calculations!R21+(Calculations!R21*Calculations!O22*Q22))</f>
        <v>779401.6332597771</v>
      </c>
      <c r="S22" s="54">
        <f t="shared" si="0"/>
        <v>1</v>
      </c>
      <c r="T22" s="37">
        <f t="shared" si="5"/>
        <v>779.4016332597771</v>
      </c>
      <c r="U22" s="142">
        <f>T22/(1+Real_Discount_Rate)^(Calculations!M22-'Assumed Values'!$C$5)</f>
        <v>230.59681960368772</v>
      </c>
    </row>
    <row r="23" spans="1:21" ht="15.75" x14ac:dyDescent="0.25">
      <c r="L23" s="136"/>
      <c r="M23" s="144">
        <f t="shared" si="1"/>
        <v>2037</v>
      </c>
      <c r="N23" s="145">
        <f t="shared" si="6"/>
        <v>10829.451580460438</v>
      </c>
      <c r="O23" s="146">
        <f t="shared" si="7"/>
        <v>1.1023907668779254E-2</v>
      </c>
      <c r="P23" s="147">
        <f t="shared" si="8"/>
        <v>0.22751629553398589</v>
      </c>
      <c r="Q23" s="148">
        <f t="shared" si="4"/>
        <v>1</v>
      </c>
      <c r="R23" s="37">
        <f>IF(M23=Year_Open_to_Traffic?,Calculations!$J$5,Calculations!R22+(Calculations!R22*Calculations!O23*Q23))</f>
        <v>787993.68490172864</v>
      </c>
      <c r="S23" s="54">
        <f t="shared" si="0"/>
        <v>1</v>
      </c>
      <c r="T23" s="37">
        <f t="shared" si="5"/>
        <v>787.99368490172867</v>
      </c>
      <c r="U23" s="142">
        <f>T23/(1+Real_Discount_Rate)^(Calculations!M23-'Assumed Values'!$C$5)</f>
        <v>217.88682023524572</v>
      </c>
    </row>
    <row r="24" spans="1:21" ht="15.75" x14ac:dyDescent="0.25">
      <c r="L24" s="136"/>
      <c r="M24" s="137">
        <f t="shared" si="1"/>
        <v>2038</v>
      </c>
      <c r="N24" s="145">
        <f t="shared" si="6"/>
        <v>10948.834454786949</v>
      </c>
      <c r="O24" s="146">
        <f t="shared" si="7"/>
        <v>1.1023907668779254E-2</v>
      </c>
      <c r="P24" s="147">
        <f t="shared" si="8"/>
        <v>0.23002441416909525</v>
      </c>
      <c r="Q24" s="148">
        <f t="shared" si="4"/>
        <v>1</v>
      </c>
      <c r="R24" s="37">
        <f>IF(M24=Year_Open_to_Traffic?,Calculations!$J$5,Calculations!R23+(Calculations!R23*Calculations!O24*Q24))</f>
        <v>796680.45452766644</v>
      </c>
      <c r="S24" s="54">
        <f t="shared" si="0"/>
        <v>1</v>
      </c>
      <c r="T24" s="37">
        <f t="shared" si="5"/>
        <v>796.68045452766648</v>
      </c>
      <c r="U24" s="142">
        <f>T24/(1+Real_Discount_Rate)^(Calculations!M24-'Assumed Values'!$C$5)</f>
        <v>205.87736862033924</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11069.533394897269</v>
      </c>
      <c r="O25" s="146">
        <f t="shared" si="7"/>
        <v>1.1023907668779254E-2</v>
      </c>
      <c r="P25" s="147">
        <f t="shared" si="8"/>
        <v>0.2325601820724604</v>
      </c>
      <c r="Q25" s="148">
        <f t="shared" si="4"/>
        <v>1</v>
      </c>
      <c r="R25" s="37">
        <f>IF(M25=Year_Open_to_Traffic?,Calculations!$J$5,Calculations!R24+(Calculations!R24*Calculations!O25*Q25))</f>
        <v>805462.98629990057</v>
      </c>
      <c r="S25" s="54">
        <f t="shared" si="0"/>
        <v>1</v>
      </c>
      <c r="T25" s="37">
        <f t="shared" si="5"/>
        <v>805.46298629990054</v>
      </c>
      <c r="U25" s="142">
        <f>T25/(1+Real_Discount_Rate)^(Calculations!M25-'Assumed Values'!$C$5)</f>
        <v>194.52985207766454</v>
      </c>
    </row>
    <row r="26" spans="1:21" ht="15.75" x14ac:dyDescent="0.25">
      <c r="A26" s="181"/>
      <c r="B26" s="181"/>
      <c r="D26" s="160">
        <f>Calculations!E17</f>
        <v>3.0163313598208827E-2</v>
      </c>
      <c r="E26" s="160">
        <f>Calculations!E18</f>
        <v>0.15247068518836529</v>
      </c>
      <c r="F26" s="160">
        <f>Calculations!E19</f>
        <v>0.86023824361859424</v>
      </c>
      <c r="G26" s="160">
        <f>Calculations!E20</f>
        <v>2.1475306271808616</v>
      </c>
      <c r="H26" s="160">
        <f>Calculations!E21</f>
        <v>16.651900524420203</v>
      </c>
      <c r="I26" s="160">
        <f>Calculations!E22</f>
        <v>1.4449200223658101</v>
      </c>
      <c r="J26" s="182"/>
      <c r="L26" s="136"/>
      <c r="M26" s="137">
        <f t="shared" si="1"/>
        <v>2040</v>
      </c>
      <c r="N26" s="145">
        <f t="shared" si="6"/>
        <v>11191.562908979085</v>
      </c>
      <c r="O26" s="146">
        <f t="shared" si="7"/>
        <v>1.1023907668779254E-2</v>
      </c>
      <c r="P26" s="147">
        <f t="shared" si="8"/>
        <v>0.23512390404706171</v>
      </c>
      <c r="Q26" s="148">
        <f t="shared" si="4"/>
        <v>1</v>
      </c>
      <c r="R26" s="37">
        <f>IF(M26=Year_Open_to_Traffic?,Calculations!$J$5,Calculations!R25+(Calculations!R25*Calculations!O26*Q26))</f>
        <v>814342.33589148987</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3.9303130874430853E-3</v>
      </c>
      <c r="F27" s="163">
        <f>F$26*'Value of Statistical Life'!F17*Appropriate_Crash_Reduction_Factor</f>
        <v>5.3853064646133042E-2</v>
      </c>
      <c r="G27" s="163">
        <f>G$26*'Value of Statistical Life'!G17*Appropriate_Crash_Reduction_Factor</f>
        <v>0.37748756481928392</v>
      </c>
      <c r="H27" s="163">
        <f>H$26*'Value of Statistical Life'!H17*Appropriate_Crash_Reduction_Factor</f>
        <v>11.556502223450243</v>
      </c>
      <c r="I27" s="163">
        <f>I$26*'Value of Statistical Life'!I17*Appropriate_Crash_Reduction_Factor</f>
        <v>0.47331245172636838</v>
      </c>
      <c r="J27" s="163">
        <f t="shared" ref="J27:J33" si="9">SUM(D27:I27)</f>
        <v>12.465085617729471</v>
      </c>
      <c r="K27" s="164"/>
      <c r="L27" s="136"/>
      <c r="M27" s="144">
        <f t="shared" si="1"/>
        <v>2041</v>
      </c>
      <c r="N27" s="145">
        <f t="shared" si="6"/>
        <v>11314.937665157006</v>
      </c>
      <c r="O27" s="146">
        <f t="shared" si="7"/>
        <v>1.1023907668779254E-2</v>
      </c>
      <c r="P27" s="147">
        <f t="shared" si="8"/>
        <v>0.23771588825599943</v>
      </c>
      <c r="Q27" s="148">
        <f t="shared" si="4"/>
        <v>1</v>
      </c>
      <c r="R27" s="37">
        <f>IF(M27=Year_Open_to_Traffic?,Calculations!$J$5,Calculations!R26+(Calculations!R26*Calculations!O27*Q27))</f>
        <v>823319.5706131357</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6.3407602672572505E-2</v>
      </c>
      <c r="F28" s="163">
        <f>F$26*'Value of Statistical Life'!F18*Appropriate_Crash_Reduction_Factor</f>
        <v>0.49577465515787722</v>
      </c>
      <c r="G28" s="163">
        <f>G$26*'Value of Statistical Life'!G18*Appropriate_Crash_Reduction_Factor</f>
        <v>1.1104773496620877</v>
      </c>
      <c r="H28" s="163">
        <f>H$26*'Value of Statistical Life'!H18*Appropriate_Crash_Reduction_Factor</f>
        <v>0.90632131579288056</v>
      </c>
      <c r="I28" s="163">
        <f>I$26*'Value of Statistical Life'!I18*Appropriate_Crash_Reduction_Factor</f>
        <v>0.45232137610144907</v>
      </c>
      <c r="J28" s="163">
        <f t="shared" si="9"/>
        <v>3.0283022993868669</v>
      </c>
      <c r="K28" s="164"/>
      <c r="L28" s="136"/>
      <c r="M28" s="137">
        <f t="shared" si="1"/>
        <v>2042</v>
      </c>
      <c r="N28" s="145">
        <f t="shared" si="6"/>
        <v>11439.67249325569</v>
      </c>
      <c r="O28" s="146">
        <f t="shared" si="7"/>
        <v>1.1023907668779254E-2</v>
      </c>
      <c r="P28" s="147">
        <f t="shared" si="8"/>
        <v>0.2403364462595354</v>
      </c>
      <c r="Q28" s="148">
        <f t="shared" si="4"/>
        <v>1</v>
      </c>
      <c r="R28" s="37">
        <f>IF(M28=Year_Open_to_Traffic?,Calculations!$J$5,Calculations!R27+(Calculations!R27*Calculations!O28*Q28))</f>
        <v>832395.76954147394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2.390892814438756E-2</v>
      </c>
      <c r="F29" s="163">
        <f>F$26*'Value of Statistical Life'!F19*Appropriate_Crash_Reduction_Factor</f>
        <v>7.0311572842165798E-2</v>
      </c>
      <c r="G29" s="163">
        <f>G$26*'Value of Statistical Life'!G19*Appropriate_Crash_Reduction_Factor</f>
        <v>0.10293651178734664</v>
      </c>
      <c r="H29" s="163">
        <f>H$26*'Value of Statistical Life'!H19*Appropriate_Crash_Reduction_Factor</f>
        <v>2.4728072278764002E-2</v>
      </c>
      <c r="I29" s="163">
        <f>I$26*'Value of Statistical Life'!I19*Appropriate_Crash_Reduction_Factor</f>
        <v>9.6144978288220995E-2</v>
      </c>
      <c r="J29" s="163">
        <f t="shared" si="9"/>
        <v>0.31803006334088502</v>
      </c>
      <c r="K29" s="164"/>
      <c r="L29" s="136"/>
      <c r="M29" s="144">
        <f t="shared" si="1"/>
        <v>2043</v>
      </c>
      <c r="N29" s="145">
        <f t="shared" si="6"/>
        <v>11565.782386582414</v>
      </c>
      <c r="O29" s="146">
        <f t="shared" si="7"/>
        <v>1.1023907668779254E-2</v>
      </c>
      <c r="P29" s="147">
        <f t="shared" si="8"/>
        <v>0.24298589305254303</v>
      </c>
      <c r="Q29" s="148">
        <f t="shared" si="4"/>
        <v>1</v>
      </c>
      <c r="R29" s="37">
        <f>IF(M29=Year_Open_to_Traffic?,Calculations!$J$5,Calculations!R28+(Calculations!R28*Calculations!O29*Q29))</f>
        <v>841572.02364878159</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1.6509144615483223E-2</v>
      </c>
      <c r="F30" s="163">
        <f>F$26*'Value of Statistical Life'!F20*Appropriate_Crash_Reduction_Factor</f>
        <v>2.0587651765402008E-2</v>
      </c>
      <c r="G30" s="163">
        <f>G$26*'Value of Statistical Life'!G20*Appropriate_Crash_Reduction_Factor</f>
        <v>1.7250039762830273E-2</v>
      </c>
      <c r="H30" s="163">
        <f>H$26*'Value of Statistical Life'!H20*Appropriate_Crash_Reduction_Factor</f>
        <v>9.9911403146521211E-4</v>
      </c>
      <c r="I30" s="163">
        <f>I$26*'Value of Statistical Life'!I20*Appropriate_Crash_Reduction_Factor</f>
        <v>5.2201348108020809E-2</v>
      </c>
      <c r="J30" s="163">
        <f t="shared" si="9"/>
        <v>0.10754729828320153</v>
      </c>
      <c r="K30" s="164"/>
      <c r="L30" s="136"/>
      <c r="M30" s="144">
        <f t="shared" si="1"/>
        <v>2044</v>
      </c>
      <c r="N30" s="145">
        <f t="shared" si="6"/>
        <v>11693.282503729291</v>
      </c>
      <c r="O30" s="146">
        <f t="shared" si="7"/>
        <v>1.1023907668779254E-2</v>
      </c>
      <c r="P30" s="147">
        <f t="shared" si="8"/>
        <v>0.24566454710237015</v>
      </c>
      <c r="Q30" s="148">
        <f t="shared" si="4"/>
        <v>1</v>
      </c>
      <c r="R30" s="37">
        <f>IF(M30=Year_Open_to_Traffic?,Calculations!$J$5,Calculations!R29+(Calculations!R29*Calculations!O30*Q30))</f>
        <v>850849.43593411346</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4.5581111337061799E-3</v>
      </c>
      <c r="F31" s="163">
        <f>F$26*'Value of Statistical Life'!F21*Appropriate_Crash_Reduction_Factor</f>
        <v>4.0001078328264633E-3</v>
      </c>
      <c r="G31" s="163">
        <f>G$26*'Value of Statistical Life'!G21*Appropriate_Crash_Reduction_Factor</f>
        <v>2.2871201179476175E-3</v>
      </c>
      <c r="H31" s="163">
        <f>H$26*'Value of Statistical Life'!H21*Appropriate_Crash_Reduction_Factor</f>
        <v>0</v>
      </c>
      <c r="I31" s="163">
        <f>I$26*'Value of Statistical Life'!I21*Appropriate_Crash_Reduction_Factor</f>
        <v>6.6863674034977859E-3</v>
      </c>
      <c r="J31" s="163">
        <f t="shared" si="9"/>
        <v>1.7531706487978048E-2</v>
      </c>
      <c r="K31" s="164"/>
      <c r="L31" s="136"/>
      <c r="M31" s="144">
        <f t="shared" si="1"/>
        <v>2045</v>
      </c>
      <c r="N31" s="145">
        <f t="shared" si="6"/>
        <v>11822.188170395355</v>
      </c>
      <c r="O31" s="146">
        <f t="shared" si="7"/>
        <v>1.1023907668779254E-2</v>
      </c>
      <c r="P31" s="147">
        <f t="shared" si="8"/>
        <v>0.24837273038711916</v>
      </c>
      <c r="Q31" s="148">
        <f t="shared" si="4"/>
        <v>1</v>
      </c>
      <c r="R31" s="37">
        <f>IF(M31=Year_Open_to_Traffic?,Calculations!$J$5,Calculations!R30+(Calculations!R30*Calculations!O31*Q31))</f>
        <v>860229.12155588402</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2.0389142376814147E-3</v>
      </c>
      <c r="F32" s="163">
        <f>F$26*'Value of Statistical Life'!F22*Appropriate_Crash_Reduction_Factor</f>
        <v>6.5163046954108521E-4</v>
      </c>
      <c r="G32" s="163">
        <f>G$26*'Value of Statistical Life'!G22*Appropriate_Crash_Reduction_Factor</f>
        <v>2.0938423615013402E-4</v>
      </c>
      <c r="H32" s="163">
        <f>H$26*'Value of Statistical Life'!H22*Appropriate_Crash_Reduction_Factor</f>
        <v>3.7466776179945454E-4</v>
      </c>
      <c r="I32" s="163">
        <f>I$26*'Value of Statistical Life'!I22*Appropriate_Crash_Reduction_Factor</f>
        <v>3.0234951468004574E-3</v>
      </c>
      <c r="J32" s="163">
        <f t="shared" si="9"/>
        <v>6.2980918519725459E-3</v>
      </c>
      <c r="K32" s="164"/>
      <c r="L32" s="136"/>
      <c r="M32" s="144">
        <f t="shared" si="1"/>
        <v>2046</v>
      </c>
      <c r="N32" s="145">
        <f t="shared" si="6"/>
        <v>11952.514881228728</v>
      </c>
      <c r="O32" s="146">
        <f t="shared" si="7"/>
        <v>1.1023907668779254E-2</v>
      </c>
      <c r="P32" s="147">
        <f t="shared" si="8"/>
        <v>0.25111076843434937</v>
      </c>
      <c r="Q32" s="148">
        <f t="shared" si="4"/>
        <v>1</v>
      </c>
      <c r="R32" s="37">
        <f>IF(M32=Year_Open_to_Traffic?,Calculations!$J$5,Calculations!R31+(Calculations!R31*Calculations!O32*Q32))</f>
        <v>869712.20796591113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2.262248519865662E-2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2.262248519865662E-2</v>
      </c>
      <c r="K33" s="164"/>
      <c r="L33" s="136"/>
      <c r="M33" s="144">
        <f t="shared" si="1"/>
        <v>2047</v>
      </c>
      <c r="N33" s="145">
        <f t="shared" si="6"/>
        <v>12084.278301689104</v>
      </c>
      <c r="O33" s="146">
        <f t="shared" si="7"/>
        <v>1.1023907668779254E-2</v>
      </c>
      <c r="P33" s="147">
        <f t="shared" si="8"/>
        <v>0.25387899036020584</v>
      </c>
      <c r="Q33" s="148">
        <f t="shared" si="4"/>
        <v>1</v>
      </c>
      <c r="R33" s="37">
        <f>IF(M33=Year_Open_to_Traffic?,Calculations!$J$5,Calculations!R32+(Calculations!R32*Calculations!O33*Q33))</f>
        <v>879299.83504493744</v>
      </c>
      <c r="S33" s="54">
        <f t="shared" si="0"/>
        <v>0</v>
      </c>
      <c r="T33" s="37">
        <f t="shared" si="5"/>
        <v>0</v>
      </c>
      <c r="U33" s="142">
        <f>T33/(1+Real_Discount_Rate)^(Calculations!M33-'Assumed Values'!$C$5)</f>
        <v>0</v>
      </c>
    </row>
    <row r="34" spans="1:21" ht="15.75" x14ac:dyDescent="0.25">
      <c r="J34" s="166"/>
      <c r="L34" s="136"/>
      <c r="M34" s="144">
        <f t="shared" si="1"/>
        <v>2048</v>
      </c>
      <c r="N34" s="145">
        <f t="shared" si="6"/>
        <v>12217.494269930758</v>
      </c>
      <c r="O34" s="146">
        <f t="shared" si="7"/>
        <v>1.1023907668779254E-2</v>
      </c>
      <c r="P34" s="147">
        <f t="shared" si="8"/>
        <v>0.25667772890897966</v>
      </c>
      <c r="Q34" s="148">
        <f t="shared" si="4"/>
        <v>1</v>
      </c>
      <c r="R34" s="37">
        <f>IF(M34=Year_Open_to_Traffic?,Calculations!$J$5,Calculations!R33+(Calculations!R33*Calculations!O34*Q34))</f>
        <v>888993.15523964562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12352.178798706314</v>
      </c>
      <c r="O35" s="146">
        <f t="shared" si="7"/>
        <v>1.1023907668779254E-2</v>
      </c>
      <c r="P35" s="147">
        <f t="shared" si="8"/>
        <v>0.25950732049310421</v>
      </c>
      <c r="Q35" s="148">
        <f t="shared" si="4"/>
        <v>1</v>
      </c>
      <c r="R35" s="37">
        <f>IF(M35=Year_Open_to_Traffic?,Calculations!$J$5,Calculations!R34+(Calculations!R34*Calculations!O35*Q35))</f>
        <v>898793.33370118425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12488.348077291506</v>
      </c>
      <c r="O36" s="146">
        <f t="shared" si="7"/>
        <v>1.1023907668779254E-2</v>
      </c>
      <c r="P36" s="147">
        <f t="shared" si="8"/>
        <v>0.2623681052335925</v>
      </c>
      <c r="Q36" s="148">
        <f t="shared" si="4"/>
        <v>1</v>
      </c>
      <c r="R36" s="37">
        <f>IF(M36=Year_Open_to_Traffic?,Calculations!$J$5,Calculations!R35+(Calculations!R35*Calculations!O36*Q36))</f>
        <v>908701.54842522042</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4470.7976619534675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E47" sqref="E47"/>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2018-10-25T19:56:24Z</cp:lastPrinted>
  <dcterms:created xsi:type="dcterms:W3CDTF">2012-07-25T15:48:32Z</dcterms:created>
  <dcterms:modified xsi:type="dcterms:W3CDTF">2018-10-25T19:56:30Z</dcterms:modified>
</cp:coreProperties>
</file>