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7_SH105/"/>
    </mc:Choice>
  </mc:AlternateContent>
  <xr:revisionPtr revIDLastSave="9" documentId="8_{B10EA9A2-9F5B-43E8-A6D6-F3812C23AAD0}" xr6:coauthVersionLast="40" xr6:coauthVersionMax="40" xr10:uidLastSave="{3159923E-02EB-4174-AD88-0AC92E39C72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O10" i="12"/>
  <c r="B10" i="12"/>
  <c r="O35"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c r="B14" i="12"/>
  <c r="B13" i="12"/>
  <c r="I24" i="9"/>
  <c r="H24" i="9"/>
  <c r="G24" i="9"/>
  <c r="F24" i="9"/>
  <c r="E24" i="9"/>
  <c r="D24" i="9"/>
  <c r="S4" i="12"/>
  <c r="B16" i="12"/>
  <c r="O15" i="12"/>
  <c r="O33" i="12"/>
  <c r="O7" i="12"/>
  <c r="O24" i="12"/>
  <c r="O29" i="12"/>
  <c r="O21" i="12"/>
  <c r="O13" i="12"/>
  <c r="O18" i="12"/>
  <c r="O19" i="12"/>
  <c r="B15"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T4" i="12"/>
  <c r="U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P5" i="12"/>
  <c r="Q4" i="12"/>
  <c r="O23" i="12"/>
  <c r="O26" i="12"/>
  <c r="O5" i="12"/>
  <c r="O30" i="12"/>
  <c r="B17" i="12"/>
  <c r="O6" i="12"/>
  <c r="O9" i="12"/>
  <c r="O20" i="12"/>
  <c r="O31" i="12"/>
  <c r="O14" i="12"/>
  <c r="O25" i="12"/>
  <c r="O28" i="12"/>
  <c r="O36" i="12"/>
  <c r="O22" i="12"/>
  <c r="O27" i="12"/>
  <c r="O11" i="12"/>
  <c r="O34" i="12"/>
  <c r="O12" i="12"/>
  <c r="O16" i="12"/>
  <c r="O17" i="12"/>
  <c r="O32" i="12"/>
  <c r="O8" i="12"/>
  <c r="N5" i="12"/>
  <c r="N6" i="12"/>
  <c r="N7" i="12"/>
  <c r="N8" i="12"/>
  <c r="N9" i="12"/>
  <c r="N10" i="12"/>
  <c r="N11" i="12"/>
  <c r="N12" i="12"/>
  <c r="N13" i="12"/>
  <c r="R5" i="12"/>
  <c r="Q5" i="12"/>
  <c r="P6" i="12"/>
  <c r="Q6" i="12"/>
  <c r="P7" i="12"/>
  <c r="R6" i="12"/>
  <c r="T5" i="12"/>
  <c r="U5" i="12"/>
  <c r="E4" i="12"/>
  <c r="E5" i="12"/>
  <c r="E6" i="12"/>
  <c r="N14" i="12"/>
  <c r="N15" i="12"/>
  <c r="N16" i="12"/>
  <c r="N17" i="12"/>
  <c r="N18" i="12"/>
  <c r="N19" i="12"/>
  <c r="N20" i="12"/>
  <c r="N21" i="12"/>
  <c r="N22" i="12"/>
  <c r="N23" i="12"/>
  <c r="N24" i="12"/>
  <c r="N25" i="12"/>
  <c r="N26" i="12"/>
  <c r="N27" i="12"/>
  <c r="N28" i="12"/>
  <c r="N29" i="12"/>
  <c r="N30" i="12"/>
  <c r="N31" i="12"/>
  <c r="N32" i="12"/>
  <c r="N33" i="12"/>
  <c r="N34" i="12"/>
  <c r="N35" i="12"/>
  <c r="N36" i="12"/>
  <c r="E22" i="12"/>
  <c r="I26" i="12"/>
  <c r="E21" i="12"/>
  <c r="H26" i="12"/>
  <c r="E19" i="12"/>
  <c r="F26" i="12"/>
  <c r="E20" i="12"/>
  <c r="G26" i="12"/>
  <c r="E18" i="12"/>
  <c r="E26" i="12"/>
  <c r="E17" i="12"/>
  <c r="D26" i="12"/>
  <c r="T6" i="12"/>
  <c r="U6" i="12"/>
  <c r="Q7" i="12"/>
  <c r="R7" i="12"/>
  <c r="P8" i="12"/>
  <c r="T7" i="12"/>
  <c r="U7" i="12"/>
  <c r="D32" i="12"/>
  <c r="D30" i="12"/>
  <c r="D28" i="12"/>
  <c r="D31" i="12"/>
  <c r="D29" i="12"/>
  <c r="D27" i="12"/>
  <c r="D33" i="12"/>
  <c r="E33" i="12"/>
  <c r="E28" i="12"/>
  <c r="E30" i="12"/>
  <c r="E29" i="12"/>
  <c r="E32" i="12"/>
  <c r="E27" i="12"/>
  <c r="E31" i="12"/>
  <c r="G29" i="12"/>
  <c r="G31" i="12"/>
  <c r="G27" i="12"/>
  <c r="G28" i="12"/>
  <c r="G30" i="12"/>
  <c r="G32" i="12"/>
  <c r="G33" i="12"/>
  <c r="Q8" i="12"/>
  <c r="R8" i="12"/>
  <c r="P9" i="12"/>
  <c r="F29" i="12"/>
  <c r="F31" i="12"/>
  <c r="F32" i="12"/>
  <c r="F28" i="12"/>
  <c r="F30" i="12"/>
  <c r="F33" i="12"/>
  <c r="F27" i="12"/>
  <c r="H27" i="12"/>
  <c r="H29" i="12"/>
  <c r="H31" i="12"/>
  <c r="H28" i="12"/>
  <c r="H33" i="12"/>
  <c r="H30" i="12"/>
  <c r="H32" i="12"/>
  <c r="I32" i="12"/>
  <c r="I29" i="12"/>
  <c r="I33" i="12"/>
  <c r="I30" i="12"/>
  <c r="I27" i="12"/>
  <c r="I31" i="12"/>
  <c r="I28" i="12"/>
  <c r="T8" i="12"/>
  <c r="U8" i="12"/>
  <c r="R9" i="12"/>
  <c r="J29" i="12"/>
  <c r="J31" i="12"/>
  <c r="J28" i="12"/>
  <c r="J30" i="12"/>
  <c r="J32" i="12"/>
  <c r="P10" i="12"/>
  <c r="Q9" i="12"/>
  <c r="J33" i="12"/>
  <c r="J27" i="12"/>
  <c r="J5" i="12"/>
  <c r="R13" i="12"/>
  <c r="T13" i="12"/>
  <c r="U13" i="12"/>
  <c r="T9" i="12"/>
  <c r="U9" i="12"/>
  <c r="Q10" i="12"/>
  <c r="R10" i="12"/>
  <c r="P11" i="12"/>
  <c r="T10" i="12"/>
  <c r="U10" i="12"/>
  <c r="Q11" i="12"/>
  <c r="R11" i="12"/>
  <c r="P12" i="12"/>
  <c r="T11" i="12"/>
  <c r="U11" i="12"/>
  <c r="P13" i="12"/>
  <c r="Q12" i="12"/>
  <c r="R12" i="12"/>
  <c r="T12" i="12"/>
  <c r="U12" i="12"/>
  <c r="Q13" i="12"/>
  <c r="P14" i="12"/>
  <c r="P15" i="12"/>
  <c r="Q14" i="12"/>
  <c r="R14" i="12"/>
  <c r="T14" i="12"/>
  <c r="U14" i="12"/>
  <c r="P16" i="12"/>
  <c r="Q15" i="12"/>
  <c r="R15" i="12"/>
  <c r="T15" i="12"/>
  <c r="U15" i="12"/>
  <c r="Q16" i="12"/>
  <c r="R16" i="12"/>
  <c r="P17" i="12"/>
  <c r="T16" i="12"/>
  <c r="U16" i="12"/>
  <c r="P18" i="12"/>
  <c r="Q17" i="12"/>
  <c r="R17" i="12"/>
  <c r="T17" i="12"/>
  <c r="U17" i="12"/>
  <c r="R18" i="12"/>
  <c r="P19" i="12"/>
  <c r="Q18" i="12"/>
  <c r="Q19" i="12"/>
  <c r="P20" i="12"/>
  <c r="R19" i="12"/>
  <c r="T18" i="12"/>
  <c r="U18" i="12"/>
  <c r="P21" i="12"/>
  <c r="Q20" i="12"/>
  <c r="R20" i="12"/>
  <c r="T19" i="12"/>
  <c r="U19" i="12"/>
  <c r="T20" i="12"/>
  <c r="U20" i="12"/>
  <c r="P22" i="12"/>
  <c r="Q21" i="12"/>
  <c r="R21" i="12"/>
  <c r="T21" i="12"/>
  <c r="U21" i="12"/>
  <c r="P23" i="12"/>
  <c r="Q22" i="12"/>
  <c r="R22" i="12"/>
  <c r="T22" i="12"/>
  <c r="U22" i="12"/>
  <c r="Q23" i="12"/>
  <c r="R23" i="12"/>
  <c r="P24" i="12"/>
  <c r="T23" i="12"/>
  <c r="U23" i="12"/>
  <c r="P25" i="12"/>
  <c r="Q24" i="12"/>
  <c r="R24" i="12"/>
  <c r="T24" i="12"/>
  <c r="U24" i="12"/>
  <c r="P26" i="12"/>
  <c r="Q25" i="12"/>
  <c r="R25" i="12"/>
  <c r="T25" i="12"/>
  <c r="U25" i="12"/>
  <c r="P27" i="12"/>
  <c r="Q26" i="12"/>
  <c r="R26" i="12"/>
  <c r="T26" i="12"/>
  <c r="U26" i="12"/>
  <c r="Q27" i="12"/>
  <c r="R27" i="12"/>
  <c r="P28" i="12"/>
  <c r="T27" i="12"/>
  <c r="U27" i="12"/>
  <c r="P29" i="12"/>
  <c r="Q28" i="12"/>
  <c r="R28" i="12"/>
  <c r="T28" i="12"/>
  <c r="U28" i="12"/>
  <c r="Q29" i="12"/>
  <c r="R29" i="12"/>
  <c r="P30" i="12"/>
  <c r="T29" i="12"/>
  <c r="U29" i="12"/>
  <c r="P31" i="12"/>
  <c r="Q30" i="12"/>
  <c r="R30" i="12"/>
  <c r="T30" i="12"/>
  <c r="U30" i="12"/>
  <c r="R31" i="12"/>
  <c r="Q31" i="12"/>
  <c r="P32" i="12"/>
  <c r="T31" i="12"/>
  <c r="U31" i="12"/>
  <c r="Q32" i="12"/>
  <c r="R32" i="12"/>
  <c r="P33" i="12"/>
  <c r="T32" i="12"/>
  <c r="U32" i="12"/>
  <c r="Q33" i="12"/>
  <c r="R33" i="12"/>
  <c r="P34" i="12"/>
  <c r="T33" i="12"/>
  <c r="U33" i="12"/>
  <c r="Q34" i="12"/>
  <c r="R34" i="12"/>
  <c r="P35" i="12"/>
  <c r="T34" i="12"/>
  <c r="U34" i="12"/>
  <c r="P36" i="12"/>
  <c r="Q36" i="12"/>
  <c r="Q35"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<sst xmlns="http://schemas.openxmlformats.org/spreadsheetml/2006/main" count="441" uniqueCount="286">
  <si>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</si>
  <si>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</si>
  <si>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</si>
  <si>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</si>
  <si>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</si>
  <si>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</si>
  <si>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</si>
  <si>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</si>
  <si>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</si>
  <si>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</si>
  <si>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</si>
  <si>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</si>
  <si>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</si>
  <si>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</si>
  <si>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</si>
  <si>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</si>
  <si>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</si>
  <si>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</si>
  <si>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</si>
  <si>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</si>
  <si>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</si>
  <si>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</si>
  <si>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</si>
  <si>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</si>
  <si>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</si>
  <si>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</si>
  <si>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</si>
  <si>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</si>
  <si>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</si>
  <si>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</si>
  <si>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</si>
  <si>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</si>
  <si>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</si>
  <si>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</si>
  <si>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</si>
  <si>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</si>
  <si>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</si>
  <si>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</si>
  <si>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</si>
  <si>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</si>
  <si>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</si>
  <si>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</si>
  <si>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</si>
  <si>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</si>
  <si>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</si>
  <si>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</si>
  <si>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</si>
  <si>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</si>
  <si>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105 Widening from BS105T to SH 321</t>
  </si>
  <si>
    <t>County</t>
  </si>
  <si>
    <t>Liberty</t>
  </si>
  <si>
    <t>Data entered by the sponsors</t>
  </si>
  <si>
    <t>Facility Type</t>
  </si>
  <si>
    <t>Non-Freeway</t>
  </si>
  <si>
    <t>HGAC regional travel demand model data provided by HGAC upon request</t>
  </si>
  <si>
    <t>Street Name:</t>
  </si>
  <si>
    <t>SH 105</t>
  </si>
  <si>
    <t>Populated based on selection in cell "C18"</t>
  </si>
  <si>
    <t>Limits (From)</t>
  </si>
  <si>
    <t>BS 105T</t>
  </si>
  <si>
    <t>Benefits calculated by the template</t>
  </si>
  <si>
    <t>Limits (To)</t>
  </si>
  <si>
    <t>SH 321</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</si>
  <si>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</si>
  <si>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</si>
  <si>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</si>
  <si>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</si>
  <si>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</si>
  <si>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</si>
  <si>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</si>
  <si>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Construct Interchange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</si>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</sst>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4"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5.5</v>
      </c>
      <c r="D12" s="79"/>
      <c r="N12" s="134"/>
      <c r="O12" s="134"/>
      <c r="P12" s="134"/>
      <c r="Q12" s="134"/>
      <c r="R12" s="134"/>
      <c r="S12" s="134"/>
    </row>
    <row r="13" spans="2:19">
      <c r="B13" s="3" t="s">
        <v>64</v>
      </c>
      <c r="C13" s="97">
        <v>255</v>
      </c>
      <c r="D13" s="53"/>
    </row>
    <row r="14" spans="2:19">
      <c r="B14" s="3" t="s">
        <v>65</v>
      </c>
      <c r="C14" s="97" t="s">
        <v>66</v>
      </c>
      <c r="D14" s="53"/>
      <c r="G14" s="90"/>
    </row>
    <row r="15" spans="2:19">
      <c r="C15" s="53"/>
      <c r="D15" s="53"/>
    </row>
    <row r="16" spans="2:19">
      <c r="B16" s="5" t="s">
        <v>67</v>
      </c>
    </row>
    <row r="17" spans="2:13">
      <c r="B17" s="3" t="s">
        <v>68</v>
      </c>
      <c r="C17" s="97">
        <v>2027</v>
      </c>
      <c r="D17" s="80"/>
    </row>
    <row r="18" spans="2:13">
      <c r="B18" s="3" t="s">
        <v>69</v>
      </c>
      <c r="C18" s="98" t="s">
        <v>70</v>
      </c>
    </row>
    <row r="19" spans="2:13">
      <c r="B19" s="99" t="s">
        <v>71</v>
      </c>
      <c r="C19" s="128">
        <f>VLOOKUP(C18,'CRF Lookup Table'!C3:F84,2, FALSE)</f>
        <v>515</v>
      </c>
      <c r="D19" s="81"/>
    </row>
    <row r="20" spans="2:13">
      <c r="B20" s="99" t="s">
        <v>72</v>
      </c>
      <c r="C20" s="129">
        <f>VLOOKUP(C18,'CRF Lookup Table'!C3:F84,3, FALSE)</f>
        <v>0.65</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7542</v>
      </c>
      <c r="D25" s="82"/>
      <c r="I25" s="41"/>
    </row>
    <row r="26" spans="2:13">
      <c r="I26" s="41"/>
    </row>
    <row r="27" spans="2:13">
      <c r="B27" s="73" t="s">
        <v>76</v>
      </c>
      <c r="C27" s="74">
        <v>3827.6502994746807</v>
      </c>
      <c r="D27" s="82"/>
      <c r="I27" s="41"/>
    </row>
    <row r="28" spans="2:13">
      <c r="B28" s="73" t="s">
        <v>77</v>
      </c>
      <c r="C28" s="74">
        <v>10942</v>
      </c>
      <c r="D28" s="82"/>
      <c r="I28" s="41"/>
    </row>
    <row r="29" spans="2:13">
      <c r="B29" s="73" t="s">
        <v>78</v>
      </c>
      <c r="C29" s="75">
        <v>4500.8654484413164</v>
      </c>
      <c r="D29" s="58"/>
      <c r="I29" s="41"/>
    </row>
    <row r="30" spans="2:13">
      <c r="B30" s="73" t="s">
        <v>79</v>
      </c>
      <c r="C30" s="75">
        <v>10942</v>
      </c>
      <c r="D30" s="58"/>
      <c r="I30" s="41"/>
    </row>
    <row r="31" spans="2:13">
      <c r="B31" s="73" t="s">
        <v>80</v>
      </c>
      <c r="C31" s="74">
        <v>9573.0112787299404</v>
      </c>
      <c r="D31" s="82"/>
      <c r="H31" s="59"/>
    </row>
    <row r="32" spans="2:13">
      <c r="B32" s="73" t="s">
        <v>81</v>
      </c>
      <c r="C32" s="74">
        <v>23044</v>
      </c>
      <c r="D32" s="82"/>
    </row>
    <row r="34" spans="2:9" ht="18.75">
      <c r="B34" s="43" t="s">
        <v>82</v>
      </c>
      <c r="C34" s="44"/>
      <c r="D34" s="44"/>
      <c r="E34" s="44"/>
      <c r="F34" s="44"/>
      <c r="I34" s="59"/>
    </row>
    <row r="36" spans="2:9">
      <c r="B36" s="9" t="s">
        <v>83</v>
      </c>
    </row>
    <row r="37" spans="2:9">
      <c r="B37" s="8" t="s">
        <v>84</v>
      </c>
      <c r="C37" s="34">
        <f>Calculations!U37</f>
        <v>55899.552280542055</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75">
      <c r="A4" s="13" t="s">
        <v>20</v>
      </c>
      <c r="B4" s="39">
        <v>2018</v>
      </c>
      <c r="D4" s="104" t="s">
        <v>94</v>
      </c>
      <c r="E4" s="105">
        <f>VLOOKUP(Year_Open_to_Traffic?,Calculations!M4:N36,2,Calculations!N4:N36)</f>
        <v>9563.6915153403224</v>
      </c>
      <c r="G4" s="137" t="s">
        <v>95</v>
      </c>
      <c r="H4" s="137"/>
      <c r="I4" s="137"/>
      <c r="J4" s="137"/>
      <c r="L4" s="106"/>
      <c r="M4" s="107">
        <v>2018</v>
      </c>
      <c r="N4" s="108">
        <f>_2018_Volume_ADT</f>
        <v>7542</v>
      </c>
      <c r="O4" s="109" t="s">
        <v>96</v>
      </c>
      <c r="P4" s="110">
        <f>MIN(B12,1)</f>
        <v>0.3498126758796089</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52600.303334371776</v>
      </c>
      <c r="G5" s="138" t="s">
        <v>99</v>
      </c>
      <c r="H5" s="138"/>
      <c r="I5" s="138"/>
      <c r="J5" s="111">
        <f>SUMPRODUCT(Possible_Crash_Reductions,'Value of Statistical Life'!E5:E11)</f>
        <v>5913288.4325906727</v>
      </c>
      <c r="L5" s="106"/>
      <c r="M5" s="11">
        <f t="shared" ref="M5:M36" si="1">M4+1</f>
        <v>2019</v>
      </c>
      <c r="N5" s="112">
        <f>N4+(N4*O5)</f>
        <v>7718.5993084498941</v>
      </c>
      <c r="O5" s="113">
        <f t="shared" ref="O5:O11" si="2">IF(ISERROR(_2025_2045_Demand_Growth),_2018_2045_Demand_Growth,_2018_2025_Demand_Growth)</f>
        <v>2.3415447951457669E-2</v>
      </c>
      <c r="P5" s="114">
        <f t="shared" ref="P5:P11" si="3">P4*(1+IFERROR(_2018_2025_V_C_Growth,_2018_2045_V_C_Growth))</f>
        <v>0.35800369638442803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13676078.866936661</v>
      </c>
      <c r="L6" s="106"/>
      <c r="M6" s="107">
        <f t="shared" si="1"/>
        <v>2020</v>
      </c>
      <c r="N6" s="112">
        <f t="shared" ref="N6:N36" si="6">N5+(N5*O6)</f>
        <v>7899.3337688150596</v>
      </c>
      <c r="O6" s="113">
        <f t="shared" si="2"/>
        <v>2.3415447951457669E-2</v>
      </c>
      <c r="P6" s="114">
        <f t="shared" si="3"/>
        <v>0.36638651330354705</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8084.300207529941</v>
      </c>
      <c r="O7" s="113">
        <f t="shared" si="2"/>
        <v>2.3415447951457669E-2</v>
      </c>
      <c r="P7" s="114">
        <f t="shared" si="3"/>
        <v>0.37496561763592229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8273.597718263316</v>
      </c>
      <c r="O8" s="113">
        <f t="shared" si="2"/>
        <v>2.3415447951457669E-2</v>
      </c>
      <c r="P8" s="114">
        <f t="shared" si="3"/>
        <v>0.3837456055392624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2.3415447951457669E-2</v>
      </c>
      <c r="D9" s="39" t="s">
        <v>104</v>
      </c>
      <c r="E9" s="119">
        <f>IF('Inputs &amp; Outputs'!$C$8='CRASH RATES'!$D$3, VLOOKUP('Inputs &amp; Outputs'!$C$7,'CRASH RATES'!$C$14:$J$21,3,FALSE), VLOOKUP('Inputs &amp; Outputs'!$C$7,'CRASH RATES'!$C$28:$J$35,3,FALSE))</f>
        <v>5.3130646924395055</v>
      </c>
      <c r="F9" s="85"/>
      <c r="L9" s="106"/>
      <c r="M9" s="11">
        <f t="shared" si="1"/>
        <v>2023</v>
      </c>
      <c r="N9" s="112">
        <f t="shared" si="6"/>
        <v>8467.3277150066097</v>
      </c>
      <c r="O9" s="113">
        <f t="shared" si="2"/>
        <v>2.3415447951457669E-2</v>
      </c>
      <c r="P9" s="114">
        <f t="shared" si="3"/>
        <v>0.39273118079236763</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3.8454869188409235E-2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8665.5939864052816</v>
      </c>
      <c r="O10" s="113">
        <f t="shared" si="2"/>
        <v>2.3415447951457669E-2</v>
      </c>
      <c r="P10" s="114">
        <f t="shared" si="3"/>
        <v>0.40192715731512585</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3.4534668076595221E-2</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8868.5027513624191</v>
      </c>
      <c r="O11" s="113">
        <f t="shared" si="2"/>
        <v>2.3415447951457669E-2</v>
      </c>
      <c r="P11" s="114">
        <f t="shared" si="3"/>
        <v>0.41133846174751554</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0.3498126758796089</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9209.5398645631085</v>
      </c>
      <c r="O12" s="113">
        <f t="shared" ref="O12:O36" si="7">IFERROR(_2025_2045_Demand_Growth,_2018_2045_Demand_Growth)</f>
        <v>3.8454869188409235E-2</v>
      </c>
      <c r="P12" s="114">
        <f t="shared" ref="P12:P36" si="8">P11*(1+IFERROR(_2025_2040_V_C_Growth,_2018_2045_V_C_Growth))</f>
        <v>0.41154173943907063</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75">
      <c r="A13" s="39" t="s">
        <v>111</v>
      </c>
      <c r="B13" s="120">
        <f>_2025_Peak_Period_Volume/_2025_Peak_Period_Capacity</f>
        <v>0.41133846174751565</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9563.6915153403224</v>
      </c>
      <c r="O13" s="113">
        <f t="shared" si="7"/>
        <v>3.8454869188409235E-2</v>
      </c>
      <c r="P13" s="114">
        <f t="shared" si="8"/>
        <v>0.41174511758760635</v>
      </c>
      <c r="Q13" s="115">
        <f t="shared" si="4"/>
        <v>1</v>
      </c>
      <c r="R13" s="30">
        <f>IF(M13=Year_Open_to_Traffic?,Calculations!$J$5,Calculations!R12+(Calculations!R12*Calculations!O13*Q13))</f>
        <v>5913288.4325906727</v>
      </c>
      <c r="S13" s="45">
        <f t="shared" si="0"/>
        <v>1</v>
      </c>
      <c r="T13" s="30">
        <f t="shared" si="5"/>
        <v>5913.2884325906725</v>
      </c>
      <c r="U13" s="31">
        <f>T13/(1+Real_Discount_Rate)^(Calculations!M13-'Assumed Values'!$C$5)</f>
        <v>3216.437108118595</v>
      </c>
    </row>
    <row r="14" spans="1:21" ht="15.75">
      <c r="A14" s="39" t="s">
        <v>113</v>
      </c>
      <c r="B14" s="120">
        <f>_2045_Peak_Period_Volume/_2045_Peak_Period_Capacity</f>
        <v>0.41542315911864003</v>
      </c>
      <c r="D14" s="39" t="s">
        <v>114</v>
      </c>
      <c r="E14" s="119">
        <f>IF('Inputs &amp; Outputs'!$C$8='CRASH RATES'!$D$3, VLOOKUP('Inputs &amp; Outputs'!$C$7,'CRASH RATES'!$C$14:$J$21,8,FALSE), VLOOKUP('Inputs &amp; Outputs'!$C$7,'CRASH RATES'!$C$28:$J$35,8,FALSE))</f>
        <v>13.126395122497602</v>
      </c>
      <c r="F14" s="85"/>
      <c r="L14" s="106"/>
      <c r="M14" s="107">
        <f>M13+1</f>
        <v>2028</v>
      </c>
      <c r="N14" s="112">
        <f t="shared" si="6"/>
        <v>9931.4620215210343</v>
      </c>
      <c r="O14" s="113">
        <f t="shared" si="7"/>
        <v>3.8454869188409235E-2</v>
      </c>
      <c r="P14" s="114">
        <f>P13*(1+IFERROR(_2025_2040_V_C_Growth,_2018_2045_V_C_Growth))</f>
        <v>0.41194859624276714</v>
      </c>
      <c r="Q14" s="115">
        <f t="shared" si="4"/>
        <v>1</v>
      </c>
      <c r="R14" s="30">
        <f>IF(M14=Year_Open_to_Traffic?,Calculations!$J$5,Calculations!R13+(Calculations!R13*Calculations!O14*Q14))</f>
        <v>6140683.1657392802</v>
      </c>
      <c r="S14" s="45">
        <f t="shared" si="0"/>
        <v>1</v>
      </c>
      <c r="T14" s="30">
        <f t="shared" si="5"/>
        <v>6140.6831657392804</v>
      </c>
      <c r="U14" s="31">
        <f>T14/(1+Real_Discount_Rate)^(Calculations!M14-'Assumed Values'!$C$5)</f>
        <v>3121.6119405271411</v>
      </c>
    </row>
    <row r="15" spans="1:21" ht="15.75">
      <c r="A15" s="39" t="s">
        <v>115</v>
      </c>
      <c r="B15" s="118">
        <f>(B13/B12)^(1/(2025-2018))-1</f>
        <v>2.3415447951457669E-2</v>
      </c>
      <c r="L15" s="106"/>
      <c r="M15" s="11">
        <f>M14+1</f>
        <v>2029</v>
      </c>
      <c r="N15" s="112">
        <f t="shared" si="6"/>
        <v>10313.37509440828</v>
      </c>
      <c r="O15" s="113">
        <f t="shared" si="7"/>
        <v>3.8454869188409235E-2</v>
      </c>
      <c r="P15" s="114">
        <f>P14*(1+IFERROR(_2025_2040_V_C_Growth,_2018_2045_V_C_Growth))</f>
        <v>0.41215217545422195</v>
      </c>
      <c r="Q15" s="115">
        <f t="shared" si="4"/>
        <v>1</v>
      </c>
      <c r="R15" s="30">
        <f>IF(M15=Year_Open_to_Traffic?,Calculations!$J$5,Calculations!R14+(Calculations!R14*Calculations!O15*Q15))</f>
        <v>6376822.3336052513</v>
      </c>
      <c r="S15" s="45">
        <f t="shared" si="0"/>
        <v>1</v>
      </c>
      <c r="T15" s="30">
        <f t="shared" si="5"/>
        <v>6376.8223336052515</v>
      </c>
      <c r="U15" s="31">
        <f>T15/(1+Real_Discount_Rate)^(Calculations!M15-'Assumed Values'!$C$5)</f>
        <v>3029.582354539335</v>
      </c>
    </row>
    <row r="16" spans="1:21" ht="15.75">
      <c r="A16" s="39" t="s">
        <v>116</v>
      </c>
      <c r="B16" s="118">
        <f>(B14/B13)^(1/(2045-2025))-1</f>
        <v>4.941859574509877E-4</v>
      </c>
      <c r="D16" s="121" t="s">
        <v>117</v>
      </c>
      <c r="E16" s="57"/>
      <c r="L16" s="106"/>
      <c r="M16" s="107">
        <f t="shared" si="1"/>
        <v>2030</v>
      </c>
      <c r="N16" s="112">
        <f t="shared" si="6"/>
        <v>10709.974584554748</v>
      </c>
      <c r="O16" s="113">
        <f t="shared" si="7"/>
        <v>3.8454869188409235E-2</v>
      </c>
      <c r="P16" s="114">
        <f t="shared" si="8"/>
        <v>0.4123558552716643</v>
      </c>
      <c r="Q16" s="115">
        <f t="shared" si="4"/>
        <v>1</v>
      </c>
      <c r="R16" s="30">
        <f>IF(M16=Year_Open_to_Traffic?,Calculations!$J$5,Calculations!R15+(Calculations!R15*Calculations!O16*Q16))</f>
        <v>6622042.2022817675</v>
      </c>
      <c r="S16" s="45">
        <f t="shared" si="0"/>
        <v>1</v>
      </c>
      <c r="T16" s="30">
        <f t="shared" si="5"/>
        <v>6622.0422022817675</v>
      </c>
      <c r="U16" s="31">
        <f>T16/(1+Real_Discount_Rate)^(Calculations!M16-'Assumed Values'!$C$5)</f>
        <v>2940.2659324099609</v>
      </c>
    </row>
    <row r="17" spans="1:21" ht="15.75">
      <c r="A17" s="39" t="s">
        <v>118</v>
      </c>
      <c r="B17" s="118">
        <f>(B14/B12)^(1/(2045-2018))-1</f>
        <v>6.3869718186284619E-3</v>
      </c>
      <c r="D17" s="39" t="s">
        <v>119</v>
      </c>
      <c r="E17" s="122">
        <f>($E$6*Death_Rate)/100000000</f>
        <v>0.72661891758939257</v>
      </c>
      <c r="L17" s="106"/>
      <c r="M17" s="11">
        <f t="shared" si="1"/>
        <v>2031</v>
      </c>
      <c r="N17" s="112">
        <f t="shared" si="6"/>
        <v>11121.825256214988</v>
      </c>
      <c r="O17" s="113">
        <f t="shared" si="7"/>
        <v>3.8454869188409235E-2</v>
      </c>
      <c r="P17" s="114">
        <f t="shared" si="8"/>
        <v>0.41255963574481225</v>
      </c>
      <c r="Q17" s="115">
        <f t="shared" si="4"/>
        <v>1</v>
      </c>
      <c r="R17" s="30">
        <f>IF(M17=Year_Open_to_Traffic?,Calculations!$J$5,Calculations!R16+(Calculations!R16*Calculations!O17*Q17))</f>
        <v>6876691.9689306384</v>
      </c>
      <c r="S17" s="45">
        <f t="shared" si="0"/>
        <v>1</v>
      </c>
      <c r="T17" s="30">
        <f t="shared" si="5"/>
        <v>6876.6919689306387</v>
      </c>
      <c r="U17" s="31">
        <f>T17/(1+Real_Discount_Rate)^(Calculations!M17-'Assumed Values'!$C$5)</f>
        <v>2853.5826861868431</v>
      </c>
    </row>
    <row r="18" spans="1:21" ht="15.75">
      <c r="D18" s="39" t="s">
        <v>120</v>
      </c>
      <c r="E18" s="122">
        <f>($E$6*Incap_Injry_Rate)/100000000</f>
        <v>1.3463821120038746</v>
      </c>
      <c r="L18" s="106"/>
      <c r="M18" s="107">
        <f t="shared" si="1"/>
        <v>2032</v>
      </c>
      <c r="N18" s="112">
        <f t="shared" si="6"/>
        <v>11549.513591579082</v>
      </c>
      <c r="O18" s="113">
        <f t="shared" si="7"/>
        <v>3.8454869188409235E-2</v>
      </c>
      <c r="P18" s="114">
        <f t="shared" si="8"/>
        <v>0.4127635169234084</v>
      </c>
      <c r="Q18" s="115">
        <f t="shared" si="4"/>
        <v>1</v>
      </c>
      <c r="R18" s="30">
        <f>IF(M18=Year_Open_to_Traffic?,Calculations!$J$5,Calculations!R17+(Calculations!R17*Calculations!O18*Q18))</f>
        <v>7141134.2590448502</v>
      </c>
      <c r="S18" s="45">
        <f t="shared" si="0"/>
        <v>1</v>
      </c>
      <c r="T18" s="30">
        <f t="shared" si="5"/>
        <v>7141.1342590448503</v>
      </c>
      <c r="U18" s="31">
        <f>T18/(1+Real_Discount_Rate)^(Calculations!M18-'Assumed Values'!$C$5)</f>
        <v>2769.4549860770726</v>
      </c>
    </row>
    <row r="19" spans="1:21" ht="15.75">
      <c r="D19" s="39" t="s">
        <v>121</v>
      </c>
      <c r="E19" s="122">
        <f>($E$6*Nonincap_Injry_Rate)/100000000</f>
        <v>3.2911562737872488</v>
      </c>
      <c r="L19" s="106"/>
      <c r="M19" s="11">
        <f t="shared" si="1"/>
        <v>2033</v>
      </c>
      <c r="N19" s="112">
        <f t="shared" si="6"/>
        <v>11993.64862593301</v>
      </c>
      <c r="O19" s="113">
        <f t="shared" si="7"/>
        <v>3.8454869188409235E-2</v>
      </c>
      <c r="P19" s="114">
        <f t="shared" si="8"/>
        <v>0.41296749885722006</v>
      </c>
      <c r="Q19" s="115">
        <f t="shared" si="4"/>
        <v>1</v>
      </c>
      <c r="R19" s="30">
        <f>IF(M19=Year_Open_to_Traffic?,Calculations!$J$5,Calculations!R18+(Calculations!R18*Calculations!O19*Q19))</f>
        <v>7415745.6428332878</v>
      </c>
      <c r="S19" s="45">
        <f t="shared" si="0"/>
        <v>1</v>
      </c>
      <c r="T19" s="30">
        <f t="shared" si="5"/>
        <v>7415.745642833288</v>
      </c>
      <c r="U19" s="31">
        <f>T19/(1+Real_Discount_Rate)^(Calculations!M19-'Assumed Values'!$C$5)</f>
        <v>2687.8074909250972</v>
      </c>
    </row>
    <row r="20" spans="1:21" ht="15.75">
      <c r="D20" s="39" t="s">
        <v>122</v>
      </c>
      <c r="E20" s="122">
        <f>($E$6*Poss_Injry_Rate/100000000)</f>
        <v>7.1593334527190144</v>
      </c>
      <c r="L20" s="106"/>
      <c r="M20" s="107">
        <f t="shared" si="1"/>
        <v>2034</v>
      </c>
      <c r="N20" s="112">
        <f t="shared" si="6"/>
        <v>12454.862814935008</v>
      </c>
      <c r="O20" s="113">
        <f t="shared" si="7"/>
        <v>3.8454869188409235E-2</v>
      </c>
      <c r="P20" s="114">
        <f t="shared" si="8"/>
        <v>0.41317158159603895</v>
      </c>
      <c r="Q20" s="115">
        <f t="shared" si="4"/>
        <v>1</v>
      </c>
      <c r="R20" s="30">
        <f>IF(M20=Year_Open_to_Traffic?,Calculations!$J$5,Calculations!R19+(Calculations!R19*Calculations!O20*Q20))</f>
        <v>7700917.1714629577</v>
      </c>
      <c r="S20" s="45">
        <f t="shared" si="0"/>
        <v>1</v>
      </c>
      <c r="T20" s="30">
        <f t="shared" si="5"/>
        <v>7700.9171714629574</v>
      </c>
      <c r="U20" s="31">
        <f>T20/(1+Real_Discount_Rate)^(Calculations!M20-'Assumed Values'!$C$5)</f>
        <v>2608.567080740419</v>
      </c>
    </row>
    <row r="21" spans="1:21" ht="15.75">
      <c r="D21" s="39" t="s">
        <v>123</v>
      </c>
      <c r="E21" s="122">
        <f>($E$6*Non_Injry_Rate)/100000000</f>
        <v>53.256892430375473</v>
      </c>
      <c r="L21" s="106"/>
      <c r="M21" s="11">
        <f>M20+1</f>
        <v>2035</v>
      </c>
      <c r="N21" s="112">
        <f t="shared" si="6"/>
        <v>12933.812935242917</v>
      </c>
      <c r="O21" s="113">
        <f t="shared" si="7"/>
        <v>3.8454869188409235E-2</v>
      </c>
      <c r="P21" s="114">
        <f>P20*(1+IFERROR(_2025_2040_V_C_Growth,_2018_2045_V_C_Growth))</f>
        <v>0.41337576518968155</v>
      </c>
      <c r="Q21" s="115">
        <f t="shared" si="4"/>
        <v>1</v>
      </c>
      <c r="R21" s="30">
        <f>IF(M21=Year_Open_to_Traffic?,Calculations!$J$5,Calculations!R20+(Calculations!R20*Calculations!O21*Q21))</f>
        <v>7997054.9339223402</v>
      </c>
      <c r="S21" s="45">
        <f t="shared" si="0"/>
        <v>1</v>
      </c>
      <c r="T21" s="30">
        <f t="shared" si="5"/>
        <v>7997.0549339223398</v>
      </c>
      <c r="U21" s="31">
        <f>T21/(1+Real_Discount_Rate)^(Calculations!M21-'Assumed Values'!$C$5)</f>
        <v>2531.6627912144695</v>
      </c>
    </row>
    <row r="22" spans="1:21" ht="15.75">
      <c r="D22" s="39" t="s">
        <v>124</v>
      </c>
      <c r="E22" s="122">
        <f>($E$6*Unkn_Injry_Rate)/100000000</f>
        <v>1.7951761493384992</v>
      </c>
      <c r="L22" s="106"/>
      <c r="M22" s="107">
        <f>M21+1</f>
        <v>2036</v>
      </c>
      <c r="N22" s="112">
        <f t="shared" si="6"/>
        <v>13431.181019775038</v>
      </c>
      <c r="O22" s="113">
        <f t="shared" si="7"/>
        <v>3.8454869188409235E-2</v>
      </c>
      <c r="P22" s="114">
        <f t="shared" si="8"/>
        <v>0.41358004968798884</v>
      </c>
      <c r="Q22" s="115">
        <f t="shared" si="4"/>
        <v>1</v>
      </c>
      <c r="R22" s="30">
        <f>IF(M22=Year_Open_to_Traffic?,Calculations!$J$5,Calculations!R21+(Calculations!R21*Calculations!O22*Q22))</f>
        <v>8304580.6352988463</v>
      </c>
      <c r="S22" s="45">
        <f t="shared" si="0"/>
        <v>1</v>
      </c>
      <c r="T22" s="30">
        <f t="shared" si="5"/>
        <v>8304.5806352988457</v>
      </c>
      <c r="U22" s="31">
        <f>T22/(1+Real_Discount_Rate)^(Calculations!M22-'Assumed Values'!$C$5)</f>
        <v>2457.025750168023</v>
      </c>
    </row>
    <row r="23" spans="1:21" ht="15.75">
      <c r="L23" s="106"/>
      <c r="M23" s="11">
        <f t="shared" si="1"/>
        <v>2037</v>
      </c>
      <c r="N23" s="112">
        <f t="shared" si="6"/>
        <v>13947.675328936333</v>
      </c>
      <c r="O23" s="113">
        <f t="shared" si="7"/>
        <v>3.8454869188409235E-2</v>
      </c>
      <c r="P23" s="114">
        <f t="shared" si="8"/>
        <v>0.41378443514082652</v>
      </c>
      <c r="Q23" s="115">
        <f t="shared" si="4"/>
        <v>1</v>
      </c>
      <c r="R23" s="30">
        <f>IF(M23=Year_Open_to_Traffic?,Calculations!$J$5,Calculations!R22+(Calculations!R22*Calculations!O23*Q23))</f>
        <v>8623932.197293859</v>
      </c>
      <c r="S23" s="45">
        <f t="shared" si="0"/>
        <v>1</v>
      </c>
      <c r="T23" s="30">
        <f t="shared" si="5"/>
        <v>8623.9321972938596</v>
      </c>
      <c r="U23" s="31">
        <f>T23/(1+Real_Discount_Rate)^(Calculations!M23-'Assumed Values'!$C$5)</f>
        <v>2384.5891158722311</v>
      </c>
    </row>
    <row r="24" spans="1:21" ht="15.75">
      <c r="L24" s="106"/>
      <c r="M24" s="107">
        <f t="shared" si="1"/>
        <v>2038</v>
      </c>
      <c r="N24" s="112">
        <f t="shared" si="6"/>
        <v>14484.031359192983</v>
      </c>
      <c r="O24" s="113">
        <f t="shared" si="7"/>
        <v>3.8454869188409235E-2</v>
      </c>
      <c r="P24" s="114">
        <f t="shared" si="8"/>
        <v>0.41398892159808492</v>
      </c>
      <c r="Q24" s="115">
        <f t="shared" si="4"/>
        <v>1</v>
      </c>
      <c r="R24" s="30">
        <f>IF(M24=Year_Open_to_Traffic?,Calculations!$J$5,Calculations!R23+(Calculations!R23*Calculations!O24*Q24))</f>
        <v>8955564.3818305042</v>
      </c>
      <c r="S24" s="45">
        <f t="shared" si="0"/>
        <v>1</v>
      </c>
      <c r="T24" s="30">
        <f t="shared" si="5"/>
        <v>8955.5643818305034</v>
      </c>
      <c r="U24" s="31">
        <f>T24/(1+Real_Discount_Rate)^(Calculations!M24-'Assumed Values'!$C$5)</f>
        <v>2314.2880171880392</v>
      </c>
    </row>
    <row r="25" spans="1:21" ht="15.75">
      <c r="A25" s="135" t="s">
        <v>125</v>
      </c>
      <c r="B25" s="135"/>
      <c r="D25" s="101" t="s">
        <v>119</v>
      </c>
      <c r="E25" s="101" t="s">
        <v>120</v>
      </c>
      <c r="F25" s="101" t="s">
        <v>121</v>
      </c>
      <c r="G25" s="101" t="s">
        <v>122</v>
      </c>
      <c r="H25" s="101" t="s">
        <v>123</v>
      </c>
      <c r="I25" s="101" t="s">
        <v>124</v>
      </c>
      <c r="J25" s="136" t="s">
        <v>126</v>
      </c>
      <c r="L25" s="106"/>
      <c r="M25" s="11">
        <f t="shared" si="1"/>
        <v>2039</v>
      </c>
      <c r="N25" s="112">
        <f t="shared" si="6"/>
        <v>15041.012890431566</v>
      </c>
      <c r="O25" s="113">
        <f t="shared" si="7"/>
        <v>3.8454869188409235E-2</v>
      </c>
      <c r="P25" s="114">
        <f t="shared" si="8"/>
        <v>0.414193509109679</v>
      </c>
      <c r="Q25" s="115">
        <f t="shared" si="4"/>
        <v>1</v>
      </c>
      <c r="R25" s="30">
        <f>IF(M25=Year_Open_to_Traffic?,Calculations!$J$5,Calculations!R24+(Calculations!R24*Calculations!O25*Q25))</f>
        <v>9299949.438642174</v>
      </c>
      <c r="S25" s="45">
        <f t="shared" si="0"/>
        <v>1</v>
      </c>
      <c r="T25" s="30">
        <f t="shared" si="5"/>
        <v>9299.9494386421738</v>
      </c>
      <c r="U25" s="31">
        <f>T25/(1+Real_Discount_Rate)^(Calculations!M25-'Assumed Values'!$C$5)</f>
        <v>2246.0594954703815</v>
      </c>
    </row>
    <row r="26" spans="1:21" ht="15.75">
      <c r="A26" s="135"/>
      <c r="B26" s="135"/>
      <c r="D26" s="123">
        <f>Calculations!E17</f>
        <v>0.72661891758939257</v>
      </c>
      <c r="E26" s="123">
        <f>Calculations!E18</f>
        <v>1.3463821120038746</v>
      </c>
      <c r="F26" s="123">
        <f>Calculations!E19</f>
        <v>3.2911562737872488</v>
      </c>
      <c r="G26" s="123">
        <f>Calculations!E20</f>
        <v>7.1593334527190144</v>
      </c>
      <c r="H26" s="123">
        <f>Calculations!E21</f>
        <v>53.256892430375473</v>
      </c>
      <c r="I26" s="123">
        <f>Calculations!E22</f>
        <v>1.7951761493384992</v>
      </c>
      <c r="J26" s="136"/>
      <c r="L26" s="106"/>
      <c r="M26" s="107">
        <f t="shared" si="1"/>
        <v>2040</v>
      </c>
      <c r="N26" s="112">
        <f t="shared" si="6"/>
        <v>15619.413073594289</v>
      </c>
      <c r="O26" s="113">
        <f t="shared" si="7"/>
        <v>3.8454869188409235E-2</v>
      </c>
      <c r="P26" s="114">
        <f t="shared" si="8"/>
        <v>0.41439819772554837</v>
      </c>
      <c r="Q26" s="115">
        <f t="shared" si="4"/>
        <v>1</v>
      </c>
      <c r="R26" s="30">
        <f>IF(M26=Year_Open_to_Traffic?,Calculations!$J$5,Calculations!R25+(Calculations!R25*Calculations!O26*Q26))</f>
        <v>9657577.7777639795</v>
      </c>
      <c r="S26" s="45">
        <f t="shared" si="0"/>
        <v>1</v>
      </c>
      <c r="T26" s="30">
        <f t="shared" si="5"/>
        <v>9657.5777777639796</v>
      </c>
      <c r="U26" s="31">
        <f>T26/(1+Real_Discount_Rate)^(Calculations!M26-'Assumed Values'!$C$5)</f>
        <v>2179.8424481851216</v>
      </c>
    </row>
    <row r="27" spans="1:21" ht="15.75">
      <c r="A27" s="38" t="s">
        <v>127</v>
      </c>
      <c r="B27" s="39" t="s">
        <v>128</v>
      </c>
      <c r="D27" s="124">
        <f>D$26*'Value of Statistical Life'!D17*Appropriate_Crash_Reduction_Factor</f>
        <v>0</v>
      </c>
      <c r="E27" s="124">
        <f>E$26*'Value of Statistical Life'!E17*Appropriate_Crash_Reduction_Factor</f>
        <v>3.0078849573222561E-2</v>
      </c>
      <c r="F27" s="124">
        <f>F$26*'Value of Statistical Life'!F17*Appropriate_Crash_Reduction_Factor</f>
        <v>0.17856332921246409</v>
      </c>
      <c r="G27" s="124">
        <f>G$26*'Value of Statistical Life'!G17*Appropriate_Crash_Reduction_Factor</f>
        <v>1.090656437853941</v>
      </c>
      <c r="H27" s="124">
        <f>H$26*'Value of Statistical Life'!H17*Appropriate_Crash_Reduction_Factor</f>
        <v>32.032476346990371</v>
      </c>
      <c r="I27" s="124">
        <f>I$26*'Value of Statistical Life'!I17*Appropriate_Crash_Reduction_Factor</f>
        <v>0.50963973774030391</v>
      </c>
      <c r="J27" s="124">
        <f t="shared" ref="J27:J33" si="9">SUM(D27:I27)</f>
        <v>33.841414701370297</v>
      </c>
      <c r="K27" s="69"/>
      <c r="L27" s="106"/>
      <c r="M27" s="11">
        <f t="shared" si="1"/>
        <v>2041</v>
      </c>
      <c r="N27" s="112">
        <f t="shared" si="6"/>
        <v>16220.055560139086</v>
      </c>
      <c r="O27" s="113">
        <f t="shared" si="7"/>
        <v>3.8454869188409235E-2</v>
      </c>
      <c r="P27" s="114">
        <f t="shared" si="8"/>
        <v>0.41460298749565733</v>
      </c>
      <c r="Q27" s="115">
        <f t="shared" si="4"/>
        <v>1</v>
      </c>
      <c r="R27" s="30">
        <f>IF(M27=Year_Open_to_Traffic?,Calculations!$J$5,Calculations!R26+(Calculations!R26*Calculations!O27*Q27))</f>
        <v>10028958.667884782</v>
      </c>
      <c r="S27" s="45">
        <f t="shared" si="0"/>
        <v>1</v>
      </c>
      <c r="T27" s="30">
        <f t="shared" si="5"/>
        <v>10028.958667884783</v>
      </c>
      <c r="U27" s="31">
        <f>T27/(1+Real_Discount_Rate)^(Calculations!M27-'Assumed Values'!$C$5)</f>
        <v>2115.5775741882453</v>
      </c>
    </row>
    <row r="28" spans="1:21" ht="15.75">
      <c r="A28" s="38" t="s">
        <v>129</v>
      </c>
      <c r="B28" s="39" t="s">
        <v>130</v>
      </c>
      <c r="D28" s="124">
        <f>D$26*'Value of Statistical Life'!D18*Appropriate_Crash_Reduction_Factor</f>
        <v>0</v>
      </c>
      <c r="E28" s="124">
        <f>E$26*'Value of Statistical Life'!E18*Appropriate_Crash_Reduction_Factor</f>
        <v>0.48526102123526854</v>
      </c>
      <c r="F28" s="124">
        <f>F$26*'Value of Statistical Life'!F18*Appropriate_Crash_Reduction_Factor</f>
        <v>1.6438650900531182</v>
      </c>
      <c r="G28" s="124">
        <f>G$26*'Value of Statistical Life'!G18*Appropriate_Crash_Reduction_Factor</f>
        <v>3.2084481275025736</v>
      </c>
      <c r="H28" s="124">
        <f>H$26*'Value of Statistical Life'!H18*Appropriate_Crash_Reduction_Factor</f>
        <v>2.5121542443870264</v>
      </c>
      <c r="I28" s="124">
        <f>I$26*'Value of Statistical Life'!I18*Appropriate_Crash_Reduction_Factor</f>
        <v>0.48703757243205753</v>
      </c>
      <c r="J28" s="124">
        <f t="shared" si="9"/>
        <v>8.3367660556100454</v>
      </c>
      <c r="K28" s="69"/>
      <c r="L28" s="106"/>
      <c r="M28" s="107">
        <f t="shared" si="1"/>
        <v>2042</v>
      </c>
      <c r="N28" s="112">
        <f t="shared" si="6"/>
        <v>16843.795674932964</v>
      </c>
      <c r="O28" s="113">
        <f t="shared" si="7"/>
        <v>3.8454869188409235E-2</v>
      </c>
      <c r="P28" s="114">
        <f t="shared" si="8"/>
        <v>0.4148078784699949</v>
      </c>
      <c r="Q28" s="115">
        <f t="shared" si="4"/>
        <v>1</v>
      </c>
      <c r="R28" s="30">
        <f>IF(M28=Year_Open_to_Traffic?,Calculations!$J$5,Calculations!R27+(Calculations!R27*Calculations!O28*Q28))</f>
        <v>10414620.961554253</v>
      </c>
      <c r="S28" s="45">
        <f t="shared" si="0"/>
        <v>1</v>
      </c>
      <c r="T28" s="30">
        <f t="shared" si="5"/>
        <v>10414.620961554254</v>
      </c>
      <c r="U28" s="31">
        <f>T28/(1+Real_Discount_Rate)^(Calculations!M28-'Assumed Values'!$C$5)</f>
        <v>2053.2073206183045</v>
      </c>
    </row>
    <row r="29" spans="1:21" ht="15.75">
      <c r="A29" s="38" t="s">
        <v>131</v>
      </c>
      <c r="B29" s="39" t="s">
        <v>132</v>
      </c>
      <c r="D29" s="124">
        <f>D$26*'Value of Statistical Life'!D19*Appropriate_Crash_Reduction_Factor</f>
        <v>0</v>
      </c>
      <c r="E29" s="124">
        <f>E$26*'Value of Statistical Life'!E19*Appropriate_Crash_Reduction_Factor</f>
        <v>0.18297602178555056</v>
      </c>
      <c r="F29" s="124">
        <f>F$26*'Value of Statistical Life'!F19*Appropriate_Crash_Reduction_Factor</f>
        <v>0.23313563696626732</v>
      </c>
      <c r="G29" s="124">
        <f>G$26*'Value of Statistical Life'!G19*Appropriate_Crash_Reduction_Factor</f>
        <v>0.29740945062612695</v>
      </c>
      <c r="H29" s="124">
        <f>H$26*'Value of Statistical Life'!H19*Appropriate_Crash_Reduction_Factor</f>
        <v>6.8541620557893229E-2</v>
      </c>
      <c r="I29" s="124">
        <f>I$26*'Value of Statistical Life'!I19*Appropriate_Crash_Reduction_Factor</f>
        <v>0.10352421818005257</v>
      </c>
      <c r="J29" s="124">
        <f t="shared" si="9"/>
        <v>0.88558694811589056</v>
      </c>
      <c r="K29" s="69"/>
      <c r="L29" s="106"/>
      <c r="M29" s="11">
        <f t="shared" si="1"/>
        <v>2043</v>
      </c>
      <c r="N29" s="112">
        <f t="shared" si="6"/>
        <v>17491.521634248806</v>
      </c>
      <c r="O29" s="113">
        <f t="shared" si="7"/>
        <v>3.8454869188409235E-2</v>
      </c>
      <c r="P29" s="114">
        <f t="shared" si="8"/>
        <v>0.41501287069857479</v>
      </c>
      <c r="Q29" s="115">
        <f t="shared" si="4"/>
        <v>1</v>
      </c>
      <c r="R29" s="30">
        <f>IF(M29=Year_Open_to_Traffic?,Calculations!$J$5,Calculations!R28+(Calculations!R28*Calculations!O29*Q29))</f>
        <v>10815113.848277688</v>
      </c>
      <c r="S29" s="45">
        <f t="shared" si="0"/>
        <v>1</v>
      </c>
      <c r="T29" s="30">
        <f t="shared" si="5"/>
        <v>10815.113848277688</v>
      </c>
      <c r="U29" s="31">
        <f>T29/(1+Real_Discount_Rate)^(Calculations!M29-'Assumed Values'!$C$5)</f>
        <v>1992.6758313545474</v>
      </c>
    </row>
    <row r="30" spans="1:21" ht="15.75">
      <c r="A30" s="38" t="s">
        <v>133</v>
      </c>
      <c r="B30" s="39" t="s">
        <v>134</v>
      </c>
      <c r="D30" s="124">
        <f>D$26*'Value of Statistical Life'!D20*Appropriate_Crash_Reduction_Factor</f>
        <v>0</v>
      </c>
      <c r="E30" s="124">
        <f>E$26*'Value of Statistical Life'!E20*Appropriate_Crash_Reduction_Factor</f>
        <v>0.12634517058149961</v>
      </c>
      <c r="F30" s="124">
        <f>F$26*'Value of Statistical Life'!F20*Appropriate_Crash_Reduction_Factor</f>
        <v>6.8263517852758221E-2</v>
      </c>
      <c r="G30" s="124">
        <f>G$26*'Value of Statistical Life'!G20*Appropriate_Crash_Reduction_Factor</f>
        <v>4.983969983110343E-2</v>
      </c>
      <c r="H30" s="124">
        <f>H$26*'Value of Statistical Life'!H20*Appropriate_Crash_Reduction_Factor</f>
        <v>2.7693584063795251E-3</v>
      </c>
      <c r="I30" s="124">
        <f>I$26*'Value of Statistical Life'!I20*Appropriate_Crash_Reduction_Factor</f>
        <v>5.6207862823863072E-2</v>
      </c>
      <c r="J30" s="124">
        <f t="shared" si="9"/>
        <v>0.30342560949560382</v>
      </c>
      <c r="K30" s="69"/>
      <c r="L30" s="106"/>
      <c r="M30" s="11">
        <f t="shared" si="1"/>
        <v>2044</v>
      </c>
      <c r="N30" s="112">
        <f t="shared" si="6"/>
        <v>18164.155810600074</v>
      </c>
      <c r="O30" s="113">
        <f t="shared" si="7"/>
        <v>3.8454869188409235E-2</v>
      </c>
      <c r="P30" s="114">
        <f t="shared" si="8"/>
        <v>0.41521796423143542</v>
      </c>
      <c r="Q30" s="115">
        <f t="shared" si="4"/>
        <v>1</v>
      </c>
      <c r="R30" s="30">
        <f>IF(M30=Year_Open_to_Traffic?,Calculations!$J$5,Calculations!R29+(Calculations!R29*Calculations!O30*Q30))</f>
        <v>11231007.63657096</v>
      </c>
      <c r="S30" s="45">
        <f t="shared" si="0"/>
        <v>1</v>
      </c>
      <c r="T30" s="30">
        <f t="shared" si="5"/>
        <v>11231.007636570961</v>
      </c>
      <c r="U30" s="31">
        <f>T30/(1+Real_Discount_Rate)^(Calculations!M30-'Assumed Values'!$C$5)</f>
        <v>1933.9288969945715</v>
      </c>
    </row>
    <row r="31" spans="1:21" ht="15.75">
      <c r="A31" s="38" t="s">
        <v>135</v>
      </c>
      <c r="B31" s="39" t="s">
        <v>136</v>
      </c>
      <c r="D31" s="124">
        <f>D$26*'Value of Statistical Life'!D21*Appropriate_Crash_Reduction_Factor</f>
        <v>0</v>
      </c>
      <c r="E31" s="124">
        <f>E$26*'Value of Statistical Life'!E21*Appropriate_Crash_Reduction_Factor</f>
        <v>3.4883414139908385E-2</v>
      </c>
      <c r="F31" s="124">
        <f>F$26*'Value of Statistical Life'!F21*Appropriate_Crash_Reduction_Factor</f>
        <v>1.3263359783362613E-2</v>
      </c>
      <c r="G31" s="124">
        <f>G$26*'Value of Statistical Life'!G21*Appropriate_Crash_Reduction_Factor</f>
        <v>6.6080647768596507E-3</v>
      </c>
      <c r="H31" s="124">
        <f>H$26*'Value of Statistical Life'!H21*Appropriate_Crash_Reduction_Factor</f>
        <v>0</v>
      </c>
      <c r="I31" s="124">
        <f>I$26*'Value of Statistical Life'!I21*Appropriate_Crash_Reduction_Factor</f>
        <v>7.1995539469220512E-3</v>
      </c>
      <c r="J31" s="124">
        <f t="shared" si="9"/>
        <v>6.19543926470527E-2</v>
      </c>
      <c r="K31" s="69"/>
      <c r="L31" s="106"/>
      <c r="M31" s="11">
        <f t="shared" si="1"/>
        <v>2045</v>
      </c>
      <c r="N31" s="112">
        <f t="shared" si="6"/>
        <v>18862.656046214583</v>
      </c>
      <c r="O31" s="113">
        <f t="shared" si="7"/>
        <v>3.8454869188409235E-2</v>
      </c>
      <c r="P31" s="114">
        <f t="shared" si="8"/>
        <v>0.41542315911863997</v>
      </c>
      <c r="Q31" s="115">
        <f t="shared" si="4"/>
        <v>1</v>
      </c>
      <c r="R31" s="30">
        <f>IF(M31=Year_Open_to_Traffic?,Calculations!$J$5,Calculations!R30+(Calculations!R30*Calculations!O31*Q31))</f>
        <v>11662894.566089321</v>
      </c>
      <c r="S31" s="45">
        <f t="shared" si="0"/>
        <v>1</v>
      </c>
      <c r="T31" s="30">
        <f t="shared" si="5"/>
        <v>11662.894566089321</v>
      </c>
      <c r="U31" s="31">
        <f>T31/(1+Real_Discount_Rate)^(Calculations!M31-'Assumed Values'!$C$5)</f>
        <v>1876.9139063067119</v>
      </c>
    </row>
    <row r="32" spans="1:21" ht="15.75">
      <c r="A32" s="38" t="s">
        <v>137</v>
      </c>
      <c r="B32" s="39" t="s">
        <v>138</v>
      </c>
      <c r="D32" s="124">
        <f>D$26*'Value of Statistical Life'!D22*Appropriate_Crash_Reduction_Factor</f>
        <v>0</v>
      </c>
      <c r="E32" s="124">
        <f>E$26*'Value of Statistical Life'!E22*Appropriate_Crash_Reduction_Factor</f>
        <v>1.5603895487068904E-2</v>
      </c>
      <c r="F32" s="124">
        <f>F$26*'Value of Statistical Life'!F22*Appropriate_Crash_Reduction_Factor</f>
        <v>2.1606440937413291E-3</v>
      </c>
      <c r="G32" s="124">
        <f>G$26*'Value of Statistical Life'!G22*Appropriate_Crash_Reduction_Factor</f>
        <v>6.0496367675475676E-4</v>
      </c>
      <c r="H32" s="124">
        <f>H$26*'Value of Statistical Life'!H22*Appropriate_Crash_Reduction_Factor</f>
        <v>1.0385094023923219E-3</v>
      </c>
      <c r="I32" s="124">
        <f>I$26*'Value of Statistical Life'!I22*Appropriate_Crash_Reduction_Factor</f>
        <v>3.2555519468253687E-3</v>
      </c>
      <c r="J32" s="124">
        <f t="shared" si="9"/>
        <v>2.2663564606782677E-2</v>
      </c>
      <c r="K32" s="69"/>
      <c r="L32" s="106"/>
      <c r="M32" s="11">
        <f t="shared" si="1"/>
        <v>2046</v>
      </c>
      <c r="N32" s="112">
        <f t="shared" si="6"/>
        <v>19588.017017017723</v>
      </c>
      <c r="O32" s="113">
        <f t="shared" si="7"/>
        <v>3.8454869188409235E-2</v>
      </c>
      <c r="P32" s="114">
        <f t="shared" si="8"/>
        <v>0.41562845541027632</v>
      </c>
      <c r="Q32" s="115">
        <f t="shared" si="4"/>
        <v>1</v>
      </c>
      <c r="R32" s="30">
        <f>IF(M32=Year_Open_to_Traffic?,Calculations!$J$5,Calculations!R31+(Calculations!R31*Calculations!O32*Q32))</f>
        <v>12111389.650986494</v>
      </c>
      <c r="S32" s="45">
        <f t="shared" si="0"/>
        <v>1</v>
      </c>
      <c r="T32" s="30">
        <f t="shared" si="5"/>
        <v>12111.389650986495</v>
      </c>
      <c r="U32" s="31">
        <f>T32/(1+Real_Discount_Rate)^(Calculations!M32-'Assumed Values'!$C$5)</f>
        <v>1821.5797991136851</v>
      </c>
    </row>
    <row r="33" spans="1:21" ht="15.75">
      <c r="A33" s="38" t="s">
        <v>139</v>
      </c>
      <c r="B33" s="39" t="s">
        <v>140</v>
      </c>
      <c r="D33" s="124">
        <f>D$26*'Value of Statistical Life'!D23*Appropriate_Crash_Reduction_Factor</f>
        <v>0.47230229643310517</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0.47230229643310517</v>
      </c>
      <c r="K33" s="69"/>
      <c r="L33" s="106"/>
      <c r="M33" s="11">
        <f t="shared" si="1"/>
        <v>2047</v>
      </c>
      <c r="N33" s="112">
        <f t="shared" si="6"/>
        <v>20341.271649067472</v>
      </c>
      <c r="O33" s="113">
        <f t="shared" si="7"/>
        <v>3.8454869188409235E-2</v>
      </c>
      <c r="P33" s="114">
        <f t="shared" si="8"/>
        <v>0.4158338531564571</v>
      </c>
      <c r="Q33" s="115">
        <f t="shared" si="4"/>
        <v>1</v>
      </c>
      <c r="R33" s="30">
        <f>IF(M33=Year_Open_to_Traffic?,Calculations!$J$5,Calculations!R32+(Calculations!R32*Calculations!O33*Q33))</f>
        <v>12577131.555705033</v>
      </c>
      <c r="S33" s="45">
        <f t="shared" si="0"/>
        <v>1</v>
      </c>
      <c r="T33" s="30">
        <f t="shared" si="5"/>
        <v>12577.131555705033</v>
      </c>
      <c r="U33" s="31">
        <f>T33/(1+Real_Discount_Rate)^(Calculations!M33-'Assumed Values'!$C$5)</f>
        <v>1767.8770205652806</v>
      </c>
    </row>
    <row r="34" spans="1:21" ht="15.75">
      <c r="J34" s="125"/>
      <c r="L34" s="106"/>
      <c r="M34" s="11">
        <f t="shared" si="1"/>
        <v>2048</v>
      </c>
      <c r="N34" s="112">
        <f t="shared" si="6"/>
        <v>21123.492589458259</v>
      </c>
      <c r="O34" s="113">
        <f t="shared" si="7"/>
        <v>3.8454869188409235E-2</v>
      </c>
      <c r="P34" s="114">
        <f t="shared" si="8"/>
        <v>0.41603935240731976</v>
      </c>
      <c r="Q34" s="115">
        <f t="shared" si="4"/>
        <v>1</v>
      </c>
      <c r="R34" s="30">
        <f>IF(M34=Year_Open_to_Traffic?,Calculations!$J$5,Calculations!R33+(Calculations!R33*Calculations!O34*Q34))</f>
        <v>13060783.504445083</v>
      </c>
      <c r="S34" s="45">
        <f t="shared" si="0"/>
        <v>1</v>
      </c>
      <c r="T34" s="30">
        <f t="shared" si="5"/>
        <v>13060.783504445084</v>
      </c>
      <c r="U34" s="31">
        <f>T34/(1+Real_Discount_Rate)^(Calculations!M34-'Assumed Values'!$C$5)</f>
        <v>1715.7574767591714</v>
      </c>
    </row>
    <row r="35" spans="1:21" ht="15.75">
      <c r="G35" s="41"/>
      <c r="H35" s="41"/>
      <c r="L35" s="106"/>
      <c r="M35" s="11">
        <f t="shared" si="1"/>
        <v>2049</v>
      </c>
      <c r="N35" s="112">
        <f t="shared" si="6"/>
        <v>21935.79373378821</v>
      </c>
      <c r="O35" s="113">
        <f t="shared" si="7"/>
        <v>3.8454869188409235E-2</v>
      </c>
      <c r="P35" s="114">
        <f t="shared" si="8"/>
        <v>0.41624495321302646</v>
      </c>
      <c r="Q35" s="115">
        <f t="shared" si="4"/>
        <v>1</v>
      </c>
      <c r="R35" s="30">
        <f>IF(M35=Year_Open_to_Traffic?,Calculations!$J$5,Calculations!R34+(Calculations!R34*Calculations!O35*Q35))</f>
        <v>13563034.225606652</v>
      </c>
      <c r="S35" s="45">
        <f t="shared" si="0"/>
        <v>1</v>
      </c>
      <c r="T35" s="30">
        <f t="shared" si="5"/>
        <v>13563.034225606652</v>
      </c>
      <c r="U35" s="31">
        <f>T35/(1+Real_Discount_Rate)^(Calculations!M35-'Assumed Values'!$C$5)</f>
        <v>1665.1744916700748</v>
      </c>
    </row>
    <row r="36" spans="1:21" ht="15.75">
      <c r="G36" s="41"/>
      <c r="H36" s="41"/>
      <c r="L36" s="106"/>
      <c r="M36" s="11">
        <f t="shared" si="1"/>
        <v>2050</v>
      </c>
      <c r="N36" s="112">
        <f t="shared" si="6"/>
        <v>22779.331812364962</v>
      </c>
      <c r="O36" s="113">
        <f t="shared" si="7"/>
        <v>3.8454869188409235E-2</v>
      </c>
      <c r="P36" s="114">
        <f t="shared" si="8"/>
        <v>0.41645065562376415</v>
      </c>
      <c r="Q36" s="115">
        <f t="shared" si="4"/>
        <v>1</v>
      </c>
      <c r="R36" s="30">
        <f>IF(M36=Year_Open_to_Traffic?,Calculations!$J$5,Calculations!R35+(Calculations!R35*Calculations!O36*Q36))</f>
        <v>14084598.932550274</v>
      </c>
      <c r="S36" s="45">
        <f t="shared" si="0"/>
        <v>1</v>
      </c>
      <c r="T36" s="30">
        <f t="shared" si="5"/>
        <v>14084.598932550274</v>
      </c>
      <c r="U36" s="31">
        <f>T36/(1+Real_Discount_Rate)^(Calculations!M36-'Assumed Values'!$C$5)</f>
        <v>1616.0827653487136</v>
      </c>
    </row>
    <row r="37" spans="1:21">
      <c r="M37" s="39"/>
      <c r="N37" s="39"/>
      <c r="O37" s="118"/>
      <c r="P37" s="120"/>
      <c r="Q37" s="39"/>
      <c r="R37" s="39"/>
      <c r="S37" s="39"/>
      <c r="T37" s="39"/>
      <c r="U37" s="31">
        <f>SUM(U4:U36)</f>
        <v>55899.552280542055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261</v>
      </c>
      <c r="D59" s="92">
        <v>514</v>
      </c>
      <c r="E59" s="93">
        <v>0.8</v>
      </c>
      <c r="F59" s="94">
        <v>30</v>
      </c>
    </row>
    <row r="60" spans="3:6">
      <c r="C60" s="71" t="s">
        <v>70</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745FE-80ED-4D3E-AAA6-CC70BB155B49}"/>
</file>

<file path=customXml/itemProps2.xml><?xml version="1.0" encoding="utf-8"?>
<ds:datastoreItem xmlns:ds="http://schemas.openxmlformats.org/officeDocument/2006/customXml" ds:itemID="{598E191A-3252-4BE6-BCDA-6FD38D584C65}"/>
</file>

<file path=customXml/itemProps3.xml><?xml version="1.0" encoding="utf-8"?>
<ds:datastoreItem xmlns:ds="http://schemas.openxmlformats.org/officeDocument/2006/customXml" ds:itemID="{D8910CB6-CC2B-4351-9CB7-2E540B3C767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