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4_US90/"/>
    </mc:Choice>
  </mc:AlternateContent>
  <xr:revisionPtr revIDLastSave="4" documentId="8_{26411B0E-F67B-4B89-B0C2-B0C2A516AF02}" xr6:coauthVersionLast="40" xr6:coauthVersionMax="40" xr10:uidLastSave="{9D82CEF1-A2B8-45C8-B506-0A65F884C68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<sst xmlns="http://schemas.openxmlformats.org/spreadsheetml/2006/main" count="292" uniqueCount="238">
  <si>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</si>
  <si>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</si>
  <si>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</si>
  <si>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</si>
  <si>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</si>
  <si>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</si>
  <si>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</si>
  <si>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</si>
  <si>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</si>
  <si>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</si>
  <si>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</si>
  <si>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</si>
  <si>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</si>
  <si>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</si>
  <si>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</si>
  <si>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</si>
  <si>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</si>
  <si>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</si>
  <si>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</si>
  <si>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</si>
  <si>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</si>
  <si>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</si>
  <si>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</si>
  <si>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</si>
  <si>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</si>
  <si>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</si>
  <si>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</si>
  <si>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</si>
  <si>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</si>
  <si>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</si>
  <si>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</si>
  <si>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</si>
  <si>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</si>
  <si>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</si>
  <si>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</si>
  <si>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</si>
  <si>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</si>
  <si>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</si>
  <si>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</si>
  <si>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</si>
  <si>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</si>
  <si>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</si>
  <si>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</si>
  <si>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</si>
  <si>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</si>
  <si>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</si>
  <si>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</si>
  <si>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</si>
  <si>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</si>
  <si>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 xml:space="preserve">US 90 Trinity River Truss Bridge </t>
  </si>
  <si>
    <t>Data entered by the sponsors</t>
  </si>
  <si>
    <t>County</t>
  </si>
  <si>
    <t>Liberty</t>
  </si>
  <si>
    <t>HGAC regional travel demand model data provided by HGAC</t>
  </si>
  <si>
    <t>Facility Type</t>
  </si>
  <si>
    <t>Non Freeway</t>
  </si>
  <si>
    <t>Data populated/calculated based on inputs</t>
  </si>
  <si>
    <t>Street Name:</t>
  </si>
  <si>
    <t>US 90</t>
  </si>
  <si>
    <t>Benefits calculated by the template</t>
  </si>
  <si>
    <t>Limits (From)</t>
  </si>
  <si>
    <t>At Trinity River</t>
  </si>
  <si>
    <t>Limits (To)</t>
  </si>
  <si>
    <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</si>
  <si>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</si>
  <si>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</si>
  <si>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</si>
  <si>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</si>
  <si>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</si>
  <si>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</si>
  <si>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</si>
  <si>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</si>
  <si>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</si>
  <si>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Bicycle Lanes</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</si>
  <si>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</si>
  <si>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</si>
  <si>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</si>
  <si>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</si>
  <si>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</si>
  <si>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</si>
  <si>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</si>
  <si>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</si>
  <si>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</si>
  <si>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</si>
  <si>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</si>
  <si>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</si>
  <si>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</si>
  <si>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</si>
  <si>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</si>
  <si>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</si>
  <si>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</si>
  <si>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</si>
  <si>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</si>
  <si>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</si>
  <si>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</si>
  <si>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</si>
  <si>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</si>
  <si>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</si>
  <si>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</si>
  <si>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</si>
  <si>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</si>
  <si>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</si>
  <si>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</si>
  <si>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</si>
  <si>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</si>
  <si>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</si>
  <si>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</si>
  <si>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</si>
  <si>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</si>
  <si>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</si>
  <si>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</si>
  <si>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</si>
  <si>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</si>
  <si>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</si>
  <si>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</si>
  <si>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</si>
  <si>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</si>
  <si>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</si>
  <si>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</si>
  <si>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</si>
  <si>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</si>
  <si>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</si>
  <si>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</si>
  <si>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</si>
  <si>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</si>
  <si>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</si>
  <si>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</si>
  <si>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</si>
  <si>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</si>
  <si>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</si>
  <si>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</si>
  <si>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</si>
  <si>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</si>
  <si>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</si>
  <si>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</si>
  <si>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</si>
  <si>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</si>
  <si>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</si>
  <si>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</si>
  <si>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</si>
  <si>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</si>
  <si>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</si>
  <si>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</si>
  <si>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</si>
  <si>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</si>
  <si>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</si>
  <si>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</si>
  <si>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</si>
  <si>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</si>
  <si>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</si>
  <si>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</si>
  <si>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</si>
  <si>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</si>
  <si>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</si>
  <si>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</si>
  <si>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</si>
  <si>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</si>
  <si>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</si>
  <si>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</si>
  <si>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</si>
  <si>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</si>
  <si>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</si>
  <si>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</si>
  <si>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</si>
  <si>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</si>
  <si>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</si>
  <si>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</si>
  <si>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 xml:space="preserve">Adding New Lanes or Roads </t>
  </si>
  <si>
    <t>Montgomery</t>
  </si>
  <si>
    <t>Adding New Toll Roads</t>
  </si>
  <si>
    <t>Waller</t>
  </si>
  <si>
    <t>Ramp Configuration</t>
  </si>
  <si>
    <t>Temporary Shoulder Use</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</si>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</sst>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0.99</v>
      </c>
    </row>
    <row r="13" spans="1:7">
      <c r="A13" s="7" t="s">
        <v>65</v>
      </c>
      <c r="B13" s="116">
        <v>260</v>
      </c>
      <c r="F13" s="99"/>
    </row>
    <row r="14" spans="1:7">
      <c r="A14" s="7" t="s">
        <v>66</v>
      </c>
      <c r="B14" s="116" t="s">
        <v>67</v>
      </c>
    </row>
    <row r="17" spans="1:7">
      <c r="A17" s="98" t="s">
        <v>68</v>
      </c>
      <c r="E17" s="130" t="s">
        <v>69</v>
      </c>
      <c r="F17" s="131"/>
    </row>
    <row r="18" spans="1:7">
      <c r="A18" s="7" t="s">
        <v>70</v>
      </c>
      <c r="B18" s="117">
        <v>2024</v>
      </c>
      <c r="E18" s="87" t="s">
        <v>71</v>
      </c>
      <c r="F18" s="123">
        <f>$B$12/$B$32</f>
        <v>2.1999999999999999E-2</v>
      </c>
    </row>
    <row r="19" spans="1:7" ht="30">
      <c r="A19" s="7" t="s">
        <v>72</v>
      </c>
      <c r="B19" s="118" t="s">
        <v>73</v>
      </c>
      <c r="E19" s="89" t="s">
        <v>74</v>
      </c>
      <c r="F19" s="124">
        <f>$B$12/$B$33</f>
        <v>3.3000000000000002E-2</v>
      </c>
    </row>
    <row r="20" spans="1:7" ht="30">
      <c r="A20" s="113" t="s">
        <v>75</v>
      </c>
      <c r="B20" s="114">
        <f>VLOOKUP(B19,'Delay Reduction Factors'!B4:C80,2, FALSE)</f>
        <v>0.04</v>
      </c>
      <c r="E20" s="89" t="s">
        <v>76</v>
      </c>
      <c r="F20" s="123">
        <f>$F$19-$F$18</f>
        <v>1.1000000000000003E-2</v>
      </c>
    </row>
    <row r="21" spans="1:7">
      <c r="A21" s="7" t="s">
        <v>77</v>
      </c>
      <c r="B21" s="63">
        <v>20</v>
      </c>
      <c r="D21" s="100"/>
      <c r="E21" s="87" t="s">
        <v>78</v>
      </c>
      <c r="F21" s="123">
        <f>$F$20*$B$20</f>
        <v>4.4000000000000012E-4</v>
      </c>
      <c r="G21" s="101"/>
    </row>
    <row r="22" spans="1:7">
      <c r="D22" s="100"/>
      <c r="E22" s="87" t="s">
        <v>79</v>
      </c>
      <c r="F22" s="123">
        <f>$F$20-$F$21</f>
        <v>1.0560000000000003E-2</v>
      </c>
      <c r="G22" s="101"/>
    </row>
    <row r="23" spans="1:7">
      <c r="E23" s="87" t="s">
        <v>80</v>
      </c>
      <c r="F23" s="123">
        <f>$F$18+$F$22</f>
        <v>3.2560000000000006E-2</v>
      </c>
    </row>
    <row r="24" spans="1:7">
      <c r="A24" s="98" t="s">
        <v>81</v>
      </c>
      <c r="B24" s="102"/>
      <c r="D24" s="100"/>
    </row>
    <row r="25" spans="1:7">
      <c r="A25" s="7" t="s">
        <v>82</v>
      </c>
      <c r="B25" s="119">
        <v>27940</v>
      </c>
      <c r="D25" s="100"/>
    </row>
    <row r="28" spans="1:7">
      <c r="A28" s="87" t="s">
        <v>83</v>
      </c>
      <c r="B28" s="112">
        <f>IF(FacilityType='Delay Reduction Factors'!N5,'Inputs &amp; Outputs'!B25*45%, B25*43%)</f>
        <v>12014.199999999999</v>
      </c>
      <c r="D28" s="100"/>
      <c r="E28" s="103" t="s">
        <v>84</v>
      </c>
      <c r="F28" s="104" t="s">
        <v>2</v>
      </c>
      <c r="G28" s="105" t="s">
        <v>85</v>
      </c>
    </row>
    <row r="29" spans="1:7">
      <c r="A29" s="87" t="s">
        <v>86</v>
      </c>
      <c r="B29" s="95">
        <f>VLOOKUP(Year_Open_to_Traffic?,Calculations!H4:I36,2)</f>
        <v>14373.913591757049</v>
      </c>
      <c r="D29" s="100"/>
      <c r="E29" s="89" t="s">
        <v>87</v>
      </c>
      <c r="F29" s="83">
        <f>$B$29*$F$23</f>
        <v>468.01462654760962</v>
      </c>
      <c r="G29" s="84">
        <f>$B$29*$F$19</f>
        <v>474.33914852798267</v>
      </c>
    </row>
    <row r="30" spans="1:7">
      <c r="B30" s="82"/>
      <c r="D30" s="100"/>
    </row>
    <row r="32" spans="1:7">
      <c r="A32" s="106" t="s">
        <v>88</v>
      </c>
      <c r="B32" s="120">
        <v>45</v>
      </c>
      <c r="D32" s="100"/>
    </row>
    <row r="33" spans="1:7" ht="30">
      <c r="A33" s="107" t="s">
        <v>89</v>
      </c>
      <c r="B33" s="121">
        <v>30</v>
      </c>
      <c r="D33" s="100"/>
      <c r="E33" s="100"/>
      <c r="F33" s="108"/>
    </row>
    <row r="34" spans="1:7">
      <c r="A34" s="109"/>
      <c r="B34" s="122"/>
      <c r="F34" s="108"/>
      <c r="G34" s="108"/>
    </row>
    <row r="35" spans="1:7">
      <c r="A35" s="87" t="s">
        <v>90</v>
      </c>
      <c r="B35" s="126">
        <f>$B$28</f>
        <v>12014.199999999999</v>
      </c>
    </row>
    <row r="36" spans="1:7">
      <c r="A36" s="106" t="s">
        <v>91</v>
      </c>
      <c r="B36" s="120">
        <v>23576</v>
      </c>
    </row>
    <row r="37" spans="1:7">
      <c r="A37" s="106" t="s">
        <v>92</v>
      </c>
      <c r="B37" s="120">
        <v>14810</v>
      </c>
    </row>
    <row r="38" spans="1:7">
      <c r="A38" s="106" t="s">
        <v>93</v>
      </c>
      <c r="B38" s="120">
        <v>23576</v>
      </c>
    </row>
    <row r="39" spans="1:7">
      <c r="A39" s="106" t="s">
        <v>94</v>
      </c>
      <c r="B39" s="120">
        <v>20715</v>
      </c>
    </row>
    <row r="40" spans="1:7">
      <c r="A40" s="106" t="s">
        <v>95</v>
      </c>
      <c r="B40" s="120">
        <v>23576</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485.95612446708333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121683.80290237851</v>
      </c>
      <c r="F4" s="21">
        <f>'Inputs &amp; Outputs'!G29*Annual_Days_of_Travel</f>
        <v>123328.17861727549</v>
      </c>
      <c r="H4" s="49">
        <v>2018</v>
      </c>
      <c r="I4" s="50">
        <f>'Inputs &amp; Outputs'!B28</f>
        <v>12014.199999999999</v>
      </c>
      <c r="J4" s="50">
        <f>IF(H4=Year_Open_to_Traffic?,$F$4,0)</f>
        <v>0</v>
      </c>
      <c r="K4" s="50">
        <f>IF(H4=Year_Open_to_Traffic?,Calculations!$E$4,0)</f>
        <v>0</v>
      </c>
      <c r="L4" s="50">
        <f>IF(AND(H4&gt;=Year_Open_to_Traffic?, Calculations!H4&lt;Year_Open_to_Traffic?+'Inputs &amp; Outputs'!B$21), 1, 0)</f>
        <v>0</v>
      </c>
      <c r="M4" s="65" t="s">
        <v>111</v>
      </c>
      <c r="N4" s="66">
        <f>MIN(E8,1)</f>
        <v>0.50959450288428909</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3.0338738678173272E-2</v>
      </c>
      <c r="F5" s="26"/>
      <c r="H5" s="14">
        <f t="shared" ref="H5:H36" si="3">H4+1</f>
        <v>2019</v>
      </c>
      <c r="I5" s="79">
        <f>(I4*M5)+I4</f>
        <v>12378.695674227309</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3.0338738678173272E-2</v>
      </c>
      <c r="N5" s="71">
        <f t="shared" ref="N5:N11" si="6">N4*(1+IFERROR(_2018_2025_V_C_Growth,_2018_2045_V_C_Growth))</f>
        <v>0.5250549573391291</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1.6919309637311919E-2</v>
      </c>
      <c r="F6" s="26"/>
      <c r="H6" s="49">
        <f t="shared" si="3"/>
        <v>2020</v>
      </c>
      <c r="I6" s="79">
        <f t="shared" ref="I6:I36" si="10">(I5*M6)+I5</f>
        <v>12754.249687464326</v>
      </c>
      <c r="J6" s="50">
        <f t="shared" si="4"/>
        <v>0</v>
      </c>
      <c r="K6" s="50">
        <f>IF(H6=Year_Open_to_Traffic?,Calculations!$E$4,K5+(K5*M6))</f>
        <v>0</v>
      </c>
      <c r="L6" s="50">
        <f>IF(AND(H6&gt;=Year_Open_to_Traffic?, Calculations!H6&lt;Year_Open_to_Traffic?+'Inputs &amp; Outputs'!B$21), 1, 0)</f>
        <v>0</v>
      </c>
      <c r="M6" s="65">
        <f t="shared" si="5"/>
        <v>3.0338738678173272E-2</v>
      </c>
      <c r="N6" s="71">
        <f t="shared" si="6"/>
        <v>0.54098446248152032</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2.0381545865760353E-2</v>
      </c>
      <c r="F7" s="26"/>
      <c r="H7" s="14">
        <f t="shared" si="3"/>
        <v>2021</v>
      </c>
      <c r="I7" s="79">
        <f t="shared" si="10"/>
        <v>13141.197535768479</v>
      </c>
      <c r="J7" s="50">
        <f t="shared" si="4"/>
        <v>0</v>
      </c>
      <c r="K7" s="50">
        <f>IF(H7=Year_Open_to_Traffic?,Calculations!$E$4,K6+(K6*M7))</f>
        <v>0</v>
      </c>
      <c r="L7" s="50">
        <f>IF(AND(H7&gt;=Year_Open_to_Traffic?, Calculations!H7&lt;Year_Open_to_Traffic?+'Inputs &amp; Outputs'!B$21), 1, 0)</f>
        <v>0</v>
      </c>
      <c r="M7" s="65">
        <f t="shared" si="5"/>
        <v>3.0338738678173272E-2</v>
      </c>
      <c r="N7" s="71">
        <f t="shared" si="6"/>
        <v>0.55739724871769925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0.50959450288428909</v>
      </c>
      <c r="F8" s="26"/>
      <c r="H8" s="49">
        <f t="shared" si="3"/>
        <v>2022</v>
      </c>
      <c r="I8" s="79">
        <f t="shared" si="10"/>
        <v>13539.884893724413</v>
      </c>
      <c r="J8" s="50">
        <f t="shared" si="4"/>
        <v>0</v>
      </c>
      <c r="K8" s="50">
        <f>IF(H8=Year_Open_to_Traffic?,Calculations!$E$4,K7+(K7*M8))</f>
        <v>0</v>
      </c>
      <c r="L8" s="50">
        <f>IF(AND(H8&gt;=Year_Open_to_Traffic?, Calculations!H8&lt;Year_Open_to_Traffic?+'Inputs &amp; Outputs'!B$21), 1, 0)</f>
        <v>0</v>
      </c>
      <c r="M8" s="65">
        <f t="shared" si="5"/>
        <v>3.0338738678173272E-2</v>
      </c>
      <c r="N8" s="71">
        <f t="shared" si="6"/>
        <v>0.57430797818647827</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0.62818120122158128</v>
      </c>
      <c r="F9" s="26"/>
      <c r="H9" s="14">
        <f t="shared" si="3"/>
        <v>2023</v>
      </c>
      <c r="I9" s="79">
        <f t="shared" si="10"/>
        <v>13950.667923247664</v>
      </c>
      <c r="J9" s="50">
        <f t="shared" si="4"/>
        <v>0</v>
      </c>
      <c r="K9" s="50">
        <f>IF(H9=Year_Open_to_Traffic?,Calculations!$E$4,K8+(K8*M9))</f>
        <v>0</v>
      </c>
      <c r="L9" s="50">
        <f>IF(AND(H9&gt;=Year_Open_to_Traffic?, Calculations!H9&lt;Year_Open_to_Traffic?+'Inputs &amp; Outputs'!B$21), 1, 0)</f>
        <v>0</v>
      </c>
      <c r="M9" s="65">
        <f t="shared" si="5"/>
        <v>3.0338738678173272E-2</v>
      </c>
      <c r="N9" s="71">
        <f t="shared" si="6"/>
        <v>0.5917317578574679</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0.87864777740074651</v>
      </c>
      <c r="F10" s="26"/>
      <c r="H10" s="49">
        <f t="shared" si="3"/>
        <v>2024</v>
      </c>
      <c r="I10" s="79">
        <f t="shared" si="10"/>
        <v>14373.913591757049</v>
      </c>
      <c r="J10" s="50">
        <f t="shared" si="4"/>
        <v>123328.17861727549</v>
      </c>
      <c r="K10" s="50">
        <f>IF(H10=Year_Open_to_Traffic?,Calculations!$E$4,K9+(K9*M10))</f>
        <v>121683.80290237851</v>
      </c>
      <c r="L10" s="50">
        <f>IF(AND(H10&gt;=Year_Open_to_Traffic?, Calculations!H10&lt;Year_Open_to_Traffic?+'Inputs &amp; Outputs'!B$21), 1, 0)</f>
        <v>1</v>
      </c>
      <c r="M10" s="65">
        <f t="shared" si="5"/>
        <v>3.0338738678173272E-2</v>
      </c>
      <c r="N10" s="71">
        <f t="shared" si="6"/>
        <v>0.60968415302668177</v>
      </c>
      <c r="O10" s="72">
        <f t="shared" si="7"/>
        <v>1</v>
      </c>
      <c r="P10" s="68">
        <f>(J10-K10)*L10</f>
        <v>1644.3757148969889</v>
      </c>
      <c r="Q10" s="69">
        <f t="shared" si="0"/>
        <v>1</v>
      </c>
      <c r="R10" s="70">
        <f t="shared" si="1"/>
        <v>20.320200961804083</v>
      </c>
      <c r="S10" s="77">
        <f t="shared" si="2"/>
        <v>46.44552252694973</v>
      </c>
      <c r="T10" s="64">
        <f t="shared" si="9"/>
        <v>30.948612766927614</v>
      </c>
      <c r="W10" s="58"/>
    </row>
    <row r="11" spans="1:24" ht="30" customHeight="1">
      <c r="A11" s="132" t="s">
        <v>121</v>
      </c>
      <c r="B11" s="133"/>
      <c r="D11" s="17" t="s">
        <v>122</v>
      </c>
      <c r="E11" s="39">
        <f>(E9/E8)^(1/(2025-2018))-1</f>
        <v>3.0338738678173272E-2</v>
      </c>
      <c r="F11" s="26"/>
      <c r="H11" s="14">
        <f t="shared" si="3"/>
        <v>2025</v>
      </c>
      <c r="I11" s="79">
        <f t="shared" si="10"/>
        <v>14810.000000000009</v>
      </c>
      <c r="J11" s="50">
        <f t="shared" si="4"/>
        <v>127069.80000000009</v>
      </c>
      <c r="K11" s="50">
        <f>IF(H11=Year_Open_to_Traffic?,Calculations!$E$4,K10+(K10*M11))</f>
        <v>125375.53600000011</v>
      </c>
      <c r="L11" s="50">
        <f>IF(AND(H11&gt;=Year_Open_to_Traffic?, Calculations!H11&lt;Year_Open_to_Traffic?+'Inputs &amp; Outputs'!B$21), 1, 0)</f>
        <v>1</v>
      </c>
      <c r="M11" s="65">
        <f t="shared" si="5"/>
        <v>3.0338738678173272E-2</v>
      </c>
      <c r="N11" s="71">
        <f t="shared" si="6"/>
        <v>0.62818120122158172</v>
      </c>
      <c r="O11" s="72">
        <f t="shared" si="7"/>
        <v>1</v>
      </c>
      <c r="P11" s="68">
        <f t="shared" si="8"/>
        <v>1694.263999999981</v>
      </c>
      <c r="Q11" s="69">
        <f t="shared" si="0"/>
        <v>1</v>
      </c>
      <c r="R11" s="70">
        <f t="shared" si="1"/>
        <v>20.787565583925574</v>
      </c>
      <c r="S11" s="77">
        <f t="shared" si="2"/>
        <v>48.955277382912321</v>
      </c>
      <c r="T11" s="64">
        <f t="shared" si="9"/>
        <v>30.486886354097209</v>
      </c>
      <c r="W11" s="58"/>
    </row>
    <row r="12" spans="1:24">
      <c r="A12" s="17" t="s">
        <v>123</v>
      </c>
      <c r="B12" s="18">
        <v>0.45</v>
      </c>
      <c r="D12" s="17" t="s">
        <v>124</v>
      </c>
      <c r="E12" s="39">
        <f>(E10/E9)^(1/(2045-2025))-1</f>
        <v>1.6919309637311919E-2</v>
      </c>
      <c r="F12" s="26"/>
      <c r="H12" s="49">
        <v>2026</v>
      </c>
      <c r="I12" s="79">
        <f t="shared" si="10"/>
        <v>15060.574975728599</v>
      </c>
      <c r="J12" s="50">
        <f t="shared" si="4"/>
        <v>129219.73329175138</v>
      </c>
      <c r="K12" s="50">
        <f>IF(H12=Year_Open_to_Traffic?,Calculations!$E$4,K11+(K11*M12))</f>
        <v>127496.80351452806</v>
      </c>
      <c r="L12" s="50">
        <f>IF(AND(H12&gt;=Year_Open_to_Traffic?, Calculations!H12&lt;Year_Open_to_Traffic?+'Inputs &amp; Outputs'!B$21), 1, 0)</f>
        <v>1</v>
      </c>
      <c r="M12" s="65">
        <f t="shared" ref="M12:M36" si="11">IFERROR(_2025_2045_Demand_Growth,_2018_2045_Demand_Growth)</f>
        <v>1.6919309637311919E-2</v>
      </c>
      <c r="N12" s="71">
        <f t="shared" ref="N12:N36" si="12">N11*(1+IFERROR(_2025_2045_V_C_Growth,_2018_2045_V_C_Growth))</f>
        <v>0.63880959347338817</v>
      </c>
      <c r="O12" s="72">
        <f t="shared" si="7"/>
        <v>1</v>
      </c>
      <c r="P12" s="68">
        <f t="shared" si="8"/>
        <v>1722.9297772233258</v>
      </c>
      <c r="Q12" s="69">
        <f t="shared" si="0"/>
        <v>1</v>
      </c>
      <c r="R12" s="70">
        <f t="shared" si="1"/>
        <v>21.265679592355859</v>
      </c>
      <c r="S12" s="77">
        <f t="shared" si="2"/>
        <v>50.928588917558827</v>
      </c>
      <c r="T12" s="64">
        <f t="shared" si="9"/>
        <v>29.640902432669353</v>
      </c>
      <c r="W12" s="58"/>
    </row>
    <row r="13" spans="1:24">
      <c r="A13" s="17" t="s">
        <v>55</v>
      </c>
      <c r="B13" s="18">
        <v>0.43</v>
      </c>
      <c r="D13" s="17" t="s">
        <v>125</v>
      </c>
      <c r="E13" s="39">
        <f>(E10/E8)^(1/(2045-2018))-1</f>
        <v>2.0381545865760353E-2</v>
      </c>
      <c r="F13" s="26"/>
      <c r="H13" s="14">
        <f t="shared" si="3"/>
        <v>2027</v>
      </c>
      <c r="I13" s="79">
        <f t="shared" si="10"/>
        <v>15315.389507058902</v>
      </c>
      <c r="J13" s="50">
        <f t="shared" si="4"/>
        <v>131406.04197056539</v>
      </c>
      <c r="K13" s="50">
        <f>IF(H13=Year_Open_to_Traffic?,Calculations!$E$4,K12+(K12*M13))</f>
        <v>129653.96141095788</v>
      </c>
      <c r="L13" s="50">
        <f>IF(AND(H13&gt;=Year_Open_to_Traffic?, Calculations!H13&lt;Year_Open_to_Traffic?+'Inputs &amp; Outputs'!B$21), 1, 0)</f>
        <v>1</v>
      </c>
      <c r="M13" s="65">
        <f t="shared" si="11"/>
        <v>1.6919309637311919E-2</v>
      </c>
      <c r="N13" s="71">
        <f t="shared" si="12"/>
        <v>0.64961781078464975</v>
      </c>
      <c r="O13" s="72">
        <f t="shared" si="7"/>
        <v>1</v>
      </c>
      <c r="P13" s="68">
        <f t="shared" si="8"/>
        <v>1752.0805596075079</v>
      </c>
      <c r="Q13" s="69">
        <f t="shared" si="0"/>
        <v>1</v>
      </c>
      <c r="R13" s="70">
        <f t="shared" si="1"/>
        <v>21.754790222980041</v>
      </c>
      <c r="S13" s="77">
        <f t="shared" si="2"/>
        <v>52.981441588951704</v>
      </c>
      <c r="T13" s="64">
        <f t="shared" si="9"/>
        <v>28.818393810981931</v>
      </c>
      <c r="W13" s="58"/>
    </row>
    <row r="14" spans="1:24">
      <c r="H14" s="49">
        <f>H13+1</f>
        <v>2028</v>
      </c>
      <c r="I14" s="79">
        <f t="shared" si="10"/>
        <v>15574.515324344869</v>
      </c>
      <c r="J14" s="50">
        <f t="shared" si="4"/>
        <v>133629.34148287898</v>
      </c>
      <c r="K14" s="50">
        <f>IF(H14=Year_Open_to_Traffic?,Calculations!$E$4,K13+(K13*M14))</f>
        <v>131847.61692977397</v>
      </c>
      <c r="L14" s="50">
        <f>IF(AND(H14&gt;=Year_Open_to_Traffic?, Calculations!H14&lt;Year_Open_to_Traffic?+'Inputs &amp; Outputs'!B$21), 1, 0)</f>
        <v>1</v>
      </c>
      <c r="M14" s="65">
        <f t="shared" si="11"/>
        <v>1.6919309637311919E-2</v>
      </c>
      <c r="N14" s="71">
        <f t="shared" si="12"/>
        <v>0.66060889567122794</v>
      </c>
      <c r="O14" s="72">
        <f t="shared" si="7"/>
        <v>1</v>
      </c>
      <c r="P14" s="68">
        <f t="shared" si="8"/>
        <v>1781.7245531050139</v>
      </c>
      <c r="Q14" s="69">
        <f t="shared" si="0"/>
        <v>1</v>
      </c>
      <c r="R14" s="70">
        <f t="shared" si="1"/>
        <v>22.255150398108579</v>
      </c>
      <c r="S14" s="77">
        <f t="shared" si="2"/>
        <v>55.117041577323285</v>
      </c>
      <c r="T14" s="64">
        <f t="shared" si="9"/>
        <v>28.018709070392102</v>
      </c>
      <c r="W14" s="58"/>
    </row>
    <row r="15" spans="1:24">
      <c r="H15" s="14">
        <f t="shared" si="3"/>
        <v>2029</v>
      </c>
      <c r="I15" s="79">
        <f t="shared" si="10"/>
        <v>15838.025371568519</v>
      </c>
      <c r="J15" s="50">
        <f t="shared" si="4"/>
        <v>135890.2576880579</v>
      </c>
      <c r="K15" s="50">
        <f>IF(H15=Year_Open_to_Traffic?,Calculations!$E$4,K14+(K14*M15))</f>
        <v>134078.38758555052</v>
      </c>
      <c r="L15" s="50">
        <f>IF(AND(H15&gt;=Year_Open_to_Traffic?, Calculations!H15&lt;Year_Open_to_Traffic?+'Inputs &amp; Outputs'!B$21), 1, 0)</f>
        <v>1</v>
      </c>
      <c r="M15" s="65">
        <f t="shared" si="11"/>
        <v>1.6919309637311919E-2</v>
      </c>
      <c r="N15" s="71">
        <f t="shared" si="12"/>
        <v>0.67178594212625209</v>
      </c>
      <c r="O15" s="72">
        <f t="shared" si="7"/>
        <v>1</v>
      </c>
      <c r="P15" s="68">
        <f t="shared" si="8"/>
        <v>1811.8701025073824</v>
      </c>
      <c r="Q15" s="69">
        <f t="shared" si="0"/>
        <v>1</v>
      </c>
      <c r="R15" s="70">
        <f t="shared" si="1"/>
        <v>22.767018857265079</v>
      </c>
      <c r="S15" s="77">
        <f t="shared" si="2"/>
        <v>57.338724299073533</v>
      </c>
      <c r="T15" s="64">
        <f t="shared" si="9"/>
        <v>27.241214868543711</v>
      </c>
      <c r="W15" s="58"/>
    </row>
    <row r="16" spans="1:24">
      <c r="H16" s="49">
        <f t="shared" si="3"/>
        <v>2030</v>
      </c>
      <c r="I16" s="79">
        <f t="shared" si="10"/>
        <v>16105.99382687369</v>
      </c>
      <c r="J16" s="50">
        <f t="shared" si="4"/>
        <v>138189.42703457625</v>
      </c>
      <c r="K16" s="50">
        <f>IF(H16=Year_Open_to_Traffic?,Calculations!$E$4,K15+(K15*M16))</f>
        <v>136346.90134078197</v>
      </c>
      <c r="L16" s="50">
        <f>IF(AND(H16&gt;=Year_Open_to_Traffic?, Calculations!H16&lt;Year_Open_to_Traffic?+'Inputs &amp; Outputs'!B$21), 1, 0)</f>
        <v>1</v>
      </c>
      <c r="M16" s="65">
        <f t="shared" si="11"/>
        <v>1.6919309637311919E-2</v>
      </c>
      <c r="N16" s="71">
        <f t="shared" si="12"/>
        <v>0.68315209649107944</v>
      </c>
      <c r="O16" s="72">
        <f t="shared" si="7"/>
        <v>1</v>
      </c>
      <c r="P16" s="68">
        <f t="shared" si="8"/>
        <v>1842.5256937942759</v>
      </c>
      <c r="Q16" s="69">
        <f t="shared" si="0"/>
        <v>1</v>
      </c>
      <c r="R16" s="70">
        <f t="shared" si="1"/>
        <v>23.290660290982171</v>
      </c>
      <c r="S16" s="77">
        <f t="shared" si="2"/>
        <v>59.649959616080515</v>
      </c>
      <c r="T16" s="64">
        <f t="shared" si="9"/>
        <v>26.485295437766649</v>
      </c>
      <c r="W16" s="58"/>
    </row>
    <row r="17" spans="1:23">
      <c r="A17" s="27"/>
      <c r="H17" s="14">
        <f t="shared" si="3"/>
        <v>2031</v>
      </c>
      <c r="I17" s="79">
        <f t="shared" si="10"/>
        <v>16378.496123447199</v>
      </c>
      <c r="J17" s="50">
        <f t="shared" si="4"/>
        <v>140527.49673917698</v>
      </c>
      <c r="K17" s="50">
        <f>IF(H17=Year_Open_to_Traffic?,Calculations!$E$4,K16+(K16*M17))</f>
        <v>138653.79678265468</v>
      </c>
      <c r="L17" s="50">
        <f>IF(AND(H17&gt;=Year_Open_to_Traffic?, Calculations!H17&lt;Year_Open_to_Traffic?+'Inputs &amp; Outputs'!B$21), 1, 0)</f>
        <v>1</v>
      </c>
      <c r="M17" s="65">
        <f t="shared" si="11"/>
        <v>1.6919309637311919E-2</v>
      </c>
      <c r="N17" s="71">
        <f t="shared" si="12"/>
        <v>0.69471055834099082</v>
      </c>
      <c r="O17" s="72">
        <f t="shared" si="7"/>
        <v>1</v>
      </c>
      <c r="P17" s="68">
        <f t="shared" si="8"/>
        <v>1873.6999565222941</v>
      </c>
      <c r="Q17" s="69">
        <f t="shared" si="0"/>
        <v>1</v>
      </c>
      <c r="R17" s="70">
        <f t="shared" si="1"/>
        <v>23.82634547767476</v>
      </c>
      <c r="S17" s="77">
        <f t="shared" si="2"/>
        <v>62.054357254990059</v>
      </c>
      <c r="T17" s="64">
        <f t="shared" si="9"/>
        <v>25.75035209739502</v>
      </c>
      <c r="W17" s="58"/>
    </row>
    <row r="18" spans="1:23">
      <c r="H18" s="49">
        <f t="shared" si="3"/>
        <v>2032</v>
      </c>
      <c r="I18" s="79">
        <f t="shared" si="10"/>
        <v>16655.608970753314</v>
      </c>
      <c r="J18" s="50">
        <f t="shared" si="4"/>
        <v>142905.12496906344</v>
      </c>
      <c r="K18" s="50">
        <f>IF(H18=Year_Open_to_Traffic?,Calculations!$E$4,K17+(K17*M18))</f>
        <v>140999.72330280935</v>
      </c>
      <c r="L18" s="50">
        <f>IF(AND(H18&gt;=Year_Open_to_Traffic?, Calculations!H18&lt;Year_Open_to_Traffic?+'Inputs &amp; Outputs'!B$21), 1, 0)</f>
        <v>1</v>
      </c>
      <c r="M18" s="65">
        <f t="shared" si="11"/>
        <v>1.6919309637311919E-2</v>
      </c>
      <c r="N18" s="71">
        <f t="shared" si="12"/>
        <v>0.70646458138587187</v>
      </c>
      <c r="O18" s="72">
        <f t="shared" si="7"/>
        <v>1</v>
      </c>
      <c r="P18" s="68">
        <f t="shared" si="8"/>
        <v>1905.4016662540962</v>
      </c>
      <c r="Q18" s="69">
        <f t="shared" si="0"/>
        <v>1</v>
      </c>
      <c r="R18" s="70">
        <f t="shared" si="1"/>
        <v>24.374351423661277</v>
      </c>
      <c r="S18" s="77">
        <f t="shared" si="2"/>
        <v>64.555672444944861</v>
      </c>
      <c r="T18" s="64">
        <f t="shared" si="9"/>
        <v>25.03580277961666</v>
      </c>
      <c r="W18" s="58"/>
    </row>
    <row r="19" spans="1:23">
      <c r="H19" s="14">
        <f t="shared" si="3"/>
        <v>2033</v>
      </c>
      <c r="I19" s="79">
        <f t="shared" si="10"/>
        <v>16937.410376127478</v>
      </c>
      <c r="J19" s="50">
        <f t="shared" si="4"/>
        <v>145322.98102717378</v>
      </c>
      <c r="K19" s="50">
        <f>IF(H19=Year_Open_to_Traffic?,Calculations!$E$4,K18+(K18*M19))</f>
        <v>143385.34128014487</v>
      </c>
      <c r="L19" s="50">
        <f>IF(AND(H19&gt;=Year_Open_to_Traffic?, Calculations!H19&lt;Year_Open_to_Traffic?+'Inputs &amp; Outputs'!B$21), 1, 0)</f>
        <v>1</v>
      </c>
      <c r="M19" s="65">
        <f t="shared" si="11"/>
        <v>1.6919309637311919E-2</v>
      </c>
      <c r="N19" s="71">
        <f t="shared" si="12"/>
        <v>0.71841747438613335</v>
      </c>
      <c r="O19" s="72">
        <f t="shared" si="7"/>
        <v>1</v>
      </c>
      <c r="P19" s="68">
        <f t="shared" si="8"/>
        <v>1937.6397470289085</v>
      </c>
      <c r="Q19" s="69">
        <f t="shared" si="0"/>
        <v>1</v>
      </c>
      <c r="R19" s="70">
        <f t="shared" si="1"/>
        <v>24.934961506405479</v>
      </c>
      <c r="S19" s="77">
        <f t="shared" si="2"/>
        <v>67.157811782571443</v>
      </c>
      <c r="T19" s="64">
        <f t="shared" si="9"/>
        <v>24.341081568483784</v>
      </c>
      <c r="W19" s="58"/>
    </row>
    <row r="20" spans="1:23">
      <c r="H20" s="49">
        <f t="shared" si="3"/>
        <v>2034</v>
      </c>
      <c r="I20" s="79">
        <f t="shared" si="10"/>
        <v>17223.979666735398</v>
      </c>
      <c r="J20" s="50">
        <f t="shared" si="4"/>
        <v>147781.74554058973</v>
      </c>
      <c r="K20" s="50">
        <f>IF(H20=Year_Open_to_Traffic?,Calculations!$E$4,K19+(K19*M20))</f>
        <v>145811.32226671529</v>
      </c>
      <c r="L20" s="50">
        <f>IF(AND(H20&gt;=Year_Open_to_Traffic?, Calculations!H20&lt;Year_Open_to_Traffic?+'Inputs &amp; Outputs'!B$21), 1, 0)</f>
        <v>1</v>
      </c>
      <c r="M20" s="65">
        <f t="shared" si="11"/>
        <v>1.6919309637311919E-2</v>
      </c>
      <c r="N20" s="71">
        <f t="shared" si="12"/>
        <v>0.730572602084128</v>
      </c>
      <c r="O20" s="72">
        <f t="shared" si="7"/>
        <v>1</v>
      </c>
      <c r="P20" s="68">
        <f t="shared" si="8"/>
        <v>1970.4232738744467</v>
      </c>
      <c r="Q20" s="69">
        <f t="shared" si="0"/>
        <v>1</v>
      </c>
      <c r="R20" s="70">
        <f t="shared" si="1"/>
        <v>25.508465621052807</v>
      </c>
      <c r="S20" s="77">
        <f t="shared" si="2"/>
        <v>69.864839333362596</v>
      </c>
      <c r="T20" s="64">
        <f t="shared" si="9"/>
        <v>23.665638251710511</v>
      </c>
      <c r="W20" s="58"/>
    </row>
    <row r="21" spans="1:23">
      <c r="H21" s="14">
        <f t="shared" si="3"/>
        <v>2035</v>
      </c>
      <c r="I21" s="79">
        <f t="shared" si="10"/>
        <v>17515.397511903659</v>
      </c>
      <c r="J21" s="50">
        <f t="shared" si="4"/>
        <v>150282.11065213341</v>
      </c>
      <c r="K21" s="50">
        <f>IF(H21=Year_Open_to_Traffic?,Calculations!$E$4,K20+(K20*M21))</f>
        <v>148278.34917677171</v>
      </c>
      <c r="L21" s="50">
        <f>IF(AND(H21&gt;=Year_Open_to_Traffic?, Calculations!H21&lt;Year_Open_to_Traffic?+'Inputs &amp; Outputs'!B$21), 1, 0)</f>
        <v>1</v>
      </c>
      <c r="M21" s="65">
        <f t="shared" si="11"/>
        <v>1.6919309637311919E-2</v>
      </c>
      <c r="N21" s="71">
        <f t="shared" si="12"/>
        <v>0.74293338615132598</v>
      </c>
      <c r="O21" s="72">
        <f t="shared" si="7"/>
        <v>1</v>
      </c>
      <c r="P21" s="68">
        <f t="shared" si="8"/>
        <v>2003.761475361709</v>
      </c>
      <c r="Q21" s="69">
        <f t="shared" si="0"/>
        <v>1</v>
      </c>
      <c r="R21" s="70">
        <f t="shared" si="1"/>
        <v>26.095160330337016</v>
      </c>
      <c r="S21" s="77">
        <f t="shared" si="2"/>
        <v>72.680982979009855</v>
      </c>
      <c r="T21" s="64">
        <f t="shared" si="9"/>
        <v>23.00893788491241</v>
      </c>
      <c r="W21" s="58"/>
    </row>
    <row r="22" spans="1:23">
      <c r="H22" s="49">
        <f>H21+1</f>
        <v>2036</v>
      </c>
      <c r="I22" s="79">
        <f t="shared" si="10"/>
        <v>17811.745945828159</v>
      </c>
      <c r="J22" s="50">
        <f t="shared" si="4"/>
        <v>152824.78021520562</v>
      </c>
      <c r="K22" s="50">
        <f>IF(H22=Year_Open_to_Traffic?,Calculations!$E$4,K21+(K21*M22))</f>
        <v>150787.11647900296</v>
      </c>
      <c r="L22" s="50">
        <f>IF(AND(H22&gt;=Year_Open_to_Traffic?, Calculations!H22&lt;Year_Open_to_Traffic?+'Inputs &amp; Outputs'!B$21), 1, 0)</f>
        <v>1</v>
      </c>
      <c r="M22" s="65">
        <f t="shared" si="11"/>
        <v>1.6919309637311919E-2</v>
      </c>
      <c r="N22" s="71">
        <f t="shared" si="12"/>
        <v>0.75550330615151684</v>
      </c>
      <c r="O22" s="72">
        <f t="shared" si="7"/>
        <v>1</v>
      </c>
      <c r="P22" s="68">
        <f t="shared" si="8"/>
        <v>2037.6637362026668</v>
      </c>
      <c r="Q22" s="69">
        <f t="shared" si="0"/>
        <v>1</v>
      </c>
      <c r="R22" s="70">
        <f t="shared" si="1"/>
        <v>26.695349017934767</v>
      </c>
      <c r="S22" s="77">
        <f t="shared" si="2"/>
        <v>75.610641020575613</v>
      </c>
      <c r="T22" s="64">
        <f t="shared" si="9"/>
        <v>22.37046036793399</v>
      </c>
      <c r="W22" s="58"/>
    </row>
    <row r="23" spans="1:23">
      <c r="H23" s="14">
        <f t="shared" si="3"/>
        <v>2037</v>
      </c>
      <c r="I23" s="79">
        <f t="shared" si="10"/>
        <v>18113.108390666763</v>
      </c>
      <c r="J23" s="50">
        <f t="shared" si="4"/>
        <v>155410.46999192084</v>
      </c>
      <c r="K23" s="50">
        <f>IF(H23=Year_Open_to_Traffic?,Calculations!$E$4,K22+(K22*M23))</f>
        <v>153338.33039202864</v>
      </c>
      <c r="L23" s="50">
        <f>IF(AND(H23&gt;=Year_Open_to_Traffic?, Calculations!H23&lt;Year_Open_to_Traffic?+'Inputs &amp; Outputs'!B$21), 1, 0)</f>
        <v>1</v>
      </c>
      <c r="M23" s="65">
        <f t="shared" si="11"/>
        <v>1.6919309637311919E-2</v>
      </c>
      <c r="N23" s="71">
        <f t="shared" si="12"/>
        <v>0.76828590052030721</v>
      </c>
      <c r="O23" s="72">
        <f t="shared" si="7"/>
        <v>1</v>
      </c>
      <c r="P23" s="68">
        <f t="shared" si="8"/>
        <v>2072.1395998921944</v>
      </c>
      <c r="Q23" s="69">
        <f t="shared" si="0"/>
        <v>1</v>
      </c>
      <c r="R23" s="70">
        <f t="shared" si="1"/>
        <v>27.309342045347261</v>
      </c>
      <c r="S23" s="77">
        <f t="shared" si="2"/>
        <v>78.658389047839279</v>
      </c>
      <c r="T23" s="64">
        <f t="shared" si="9"/>
        <v>21.749700032936111</v>
      </c>
      <c r="W23" s="58"/>
    </row>
    <row r="24" spans="1:23">
      <c r="H24" s="49">
        <f t="shared" si="3"/>
        <v>2038</v>
      </c>
      <c r="I24" s="79">
        <f t="shared" si="10"/>
        <v>18419.569680022647</v>
      </c>
      <c r="J24" s="50">
        <f t="shared" si="4"/>
        <v>158039.90785459432</v>
      </c>
      <c r="K24" s="50">
        <f>IF(H24=Year_Open_to_Traffic?,Calculations!$E$4,K23+(K23*M24))</f>
        <v>155932.70908319982</v>
      </c>
      <c r="L24" s="50">
        <f>IF(AND(H24&gt;=Year_Open_to_Traffic?, Calculations!H24&lt;Year_Open_to_Traffic?+'Inputs &amp; Outputs'!B$21), 1, 0)</f>
        <v>1</v>
      </c>
      <c r="M24" s="65">
        <f t="shared" si="11"/>
        <v>1.6919309637311919E-2</v>
      </c>
      <c r="N24" s="71">
        <f t="shared" si="12"/>
        <v>0.78128476756119136</v>
      </c>
      <c r="O24" s="72">
        <f t="shared" si="7"/>
        <v>1</v>
      </c>
      <c r="P24" s="68">
        <f>(J24-K24)*L24</f>
        <v>2107.1987713944982</v>
      </c>
      <c r="Q24" s="69">
        <f t="shared" si="0"/>
        <v>1</v>
      </c>
      <c r="R24" s="70">
        <f t="shared" si="1"/>
        <v>27.93745691239025</v>
      </c>
      <c r="S24" s="77">
        <f t="shared" si="2"/>
        <v>81.828987085528894</v>
      </c>
      <c r="T24" s="64">
        <f t="shared" si="9"/>
        <v>21.146165243911316</v>
      </c>
      <c r="W24" s="58"/>
    </row>
    <row r="25" spans="1:23">
      <c r="H25" s="14">
        <f t="shared" si="3"/>
        <v>2039</v>
      </c>
      <c r="I25" s="79">
        <f t="shared" si="10"/>
        <v>18731.216082824991</v>
      </c>
      <c r="J25" s="50">
        <f t="shared" si="4"/>
        <v>160713.83399063844</v>
      </c>
      <c r="K25" s="50">
        <f>IF(H25=Year_Open_to_Traffic?,Calculations!$E$4,K24+(K24*M25))</f>
        <v>158570.98287076337</v>
      </c>
      <c r="L25" s="50">
        <f>IF(AND(H25&gt;=Year_Open_to_Traffic?, Calculations!H25&lt;Year_Open_to_Traffic?+'Inputs &amp; Outputs'!B$21), 1, 0)</f>
        <v>1</v>
      </c>
      <c r="M25" s="65">
        <f t="shared" si="11"/>
        <v>1.6919309637311919E-2</v>
      </c>
      <c r="N25" s="71">
        <f t="shared" si="12"/>
        <v>0.79450356645847442</v>
      </c>
      <c r="O25" s="72">
        <f t="shared" si="7"/>
        <v>1</v>
      </c>
      <c r="P25" s="68">
        <f t="shared" si="8"/>
        <v>2142.8511198750639</v>
      </c>
      <c r="Q25" s="69">
        <f t="shared" si="0"/>
        <v>1</v>
      </c>
      <c r="R25" s="70">
        <f t="shared" si="1"/>
        <v>28.580018421375218</v>
      </c>
      <c r="S25" s="77">
        <f t="shared" si="2"/>
        <v>85.127387027608435</v>
      </c>
      <c r="T25" s="64">
        <f t="shared" si="9"/>
        <v>20.55937800731293</v>
      </c>
      <c r="W25" s="58"/>
    </row>
    <row r="26" spans="1:23">
      <c r="H26" s="49">
        <f t="shared" si="3"/>
        <v>2040</v>
      </c>
      <c r="I26" s="79">
        <f t="shared" si="10"/>
        <v>19048.135327613705</v>
      </c>
      <c r="J26" s="50">
        <f t="shared" si="4"/>
        <v>163433.0011109256</v>
      </c>
      <c r="K26" s="50">
        <f>IF(H26=Year_Open_to_Traffic?,Calculations!$E$4,K25+(K25*M26))</f>
        <v>161253.89442944669</v>
      </c>
      <c r="L26" s="50">
        <f>IF(AND(H26&gt;=Year_Open_to_Traffic?, Calculations!H26&lt;Year_Open_to_Traffic?+'Inputs &amp; Outputs'!B$21), 1, 0)</f>
        <v>1</v>
      </c>
      <c r="M26" s="65">
        <f t="shared" si="11"/>
        <v>1.6919309637311919E-2</v>
      </c>
      <c r="N26" s="71">
        <f t="shared" si="12"/>
        <v>0.80794601830733392</v>
      </c>
      <c r="O26" s="72">
        <f t="shared" si="7"/>
        <v>1</v>
      </c>
      <c r="P26" s="68">
        <f t="shared" si="8"/>
        <v>2179.1066814789083</v>
      </c>
      <c r="Q26" s="69">
        <f t="shared" si="0"/>
        <v>1</v>
      </c>
      <c r="R26" s="70">
        <f t="shared" si="1"/>
        <v>29.237358845066851</v>
      </c>
      <c r="S26" s="77">
        <f t="shared" si="2"/>
        <v>88.558740371233469</v>
      </c>
      <c r="T26" s="64">
        <f t="shared" si="9"/>
        <v>19.988873593489778</v>
      </c>
      <c r="W26" s="58"/>
    </row>
    <row r="27" spans="1:23">
      <c r="H27" s="14">
        <f t="shared" si="3"/>
        <v>2041</v>
      </c>
      <c r="I27" s="79">
        <f t="shared" si="10"/>
        <v>19370.416627235023</v>
      </c>
      <c r="J27" s="50">
        <f t="shared" si="4"/>
        <v>166198.17466167649</v>
      </c>
      <c r="K27" s="50">
        <f>IF(H27=Year_Open_to_Traffic?,Calculations!$E$4,K26+(K26*M27))</f>
        <v>163982.19899952092</v>
      </c>
      <c r="L27" s="50">
        <f>IF(AND(H27&gt;=Year_Open_to_Traffic?, Calculations!H27&lt;Year_Open_to_Traffic?+'Inputs &amp; Outputs'!B$21), 1, 0)</f>
        <v>1</v>
      </c>
      <c r="M27" s="65">
        <f t="shared" si="11"/>
        <v>1.6919309637311919E-2</v>
      </c>
      <c r="N27" s="71">
        <f t="shared" si="12"/>
        <v>0.82161590716130894</v>
      </c>
      <c r="O27" s="72">
        <f t="shared" si="7"/>
        <v>1</v>
      </c>
      <c r="P27" s="68">
        <f t="shared" si="8"/>
        <v>2215.9756621555716</v>
      </c>
      <c r="Q27" s="69">
        <f t="shared" si="0"/>
        <v>1</v>
      </c>
      <c r="R27" s="70">
        <f t="shared" si="1"/>
        <v>29.909818098503379</v>
      </c>
      <c r="S27" s="77">
        <f t="shared" si="2"/>
        <v>92.12840626243937</v>
      </c>
      <c r="T27" s="64">
        <f t="shared" si="9"/>
        <v>19.434200168623107</v>
      </c>
      <c r="W27" s="58"/>
    </row>
    <row r="28" spans="1:23">
      <c r="H28" s="49">
        <f t="shared" si="3"/>
        <v>2042</v>
      </c>
      <c r="I28" s="79">
        <f t="shared" si="10"/>
        <v>19698.150703954947</v>
      </c>
      <c r="J28" s="50">
        <f t="shared" si="4"/>
        <v>169010.13303993343</v>
      </c>
      <c r="K28" s="50">
        <f>IF(H28=Year_Open_to_Traffic?,Calculations!$E$4,K27+(K27*M28))</f>
        <v>166756.66459940112</v>
      </c>
      <c r="L28" s="50">
        <f>IF(AND(H28&gt;=Year_Open_to_Traffic?, Calculations!H28&lt;Year_Open_to_Traffic?+'Inputs &amp; Outputs'!B$21), 1, 0)</f>
        <v>1</v>
      </c>
      <c r="M28" s="65">
        <f t="shared" si="11"/>
        <v>1.6919309637311919E-2</v>
      </c>
      <c r="N28" s="71">
        <f t="shared" si="12"/>
        <v>0.8355170810975121</v>
      </c>
      <c r="O28" s="72">
        <f t="shared" si="7"/>
        <v>1</v>
      </c>
      <c r="P28" s="68">
        <f t="shared" si="8"/>
        <v>2253.468440532306</v>
      </c>
      <c r="Q28" s="69">
        <f t="shared" si="0"/>
        <v>1</v>
      </c>
      <c r="R28" s="70">
        <f t="shared" si="1"/>
        <v>30.597743914768959</v>
      </c>
      <c r="S28" s="77">
        <f t="shared" si="2"/>
        <v>95.841959866155548</v>
      </c>
      <c r="T28" s="64">
        <f t="shared" si="9"/>
        <v>18.894918436880761</v>
      </c>
      <c r="W28" s="58"/>
    </row>
    <row r="29" spans="1:23">
      <c r="H29" s="14">
        <f t="shared" si="3"/>
        <v>2043</v>
      </c>
      <c r="I29" s="79">
        <f t="shared" si="10"/>
        <v>20031.429814997595</v>
      </c>
      <c r="J29" s="50">
        <f t="shared" si="4"/>
        <v>171869.66781267934</v>
      </c>
      <c r="K29" s="50">
        <f>IF(H29=Year_Open_to_Traffic?,Calculations!$E$4,K28+(K28*M29))</f>
        <v>169578.07224184377</v>
      </c>
      <c r="L29" s="50">
        <f>IF(AND(H29&gt;=Year_Open_to_Traffic?, Calculations!H29&lt;Year_Open_to_Traffic?+'Inputs &amp; Outputs'!B$21), 1, 0)</f>
        <v>1</v>
      </c>
      <c r="M29" s="65">
        <f t="shared" si="11"/>
        <v>1.6919309637311919E-2</v>
      </c>
      <c r="N29" s="71">
        <f t="shared" si="12"/>
        <v>0.84965345329986397</v>
      </c>
      <c r="O29" s="72">
        <f t="shared" si="7"/>
        <v>1</v>
      </c>
      <c r="P29" s="68">
        <f t="shared" si="8"/>
        <v>2291.5955708355759</v>
      </c>
      <c r="Q29" s="69">
        <f t="shared" si="0"/>
        <v>1</v>
      </c>
      <c r="R29" s="70">
        <f t="shared" si="1"/>
        <v>31.301492024808638</v>
      </c>
      <c r="S29" s="77">
        <f t="shared" si="2"/>
        <v>99.705201073589237</v>
      </c>
      <c r="T29" s="64">
        <f t="shared" si="9"/>
        <v>18.370601292498336</v>
      </c>
      <c r="W29" s="58"/>
    </row>
    <row r="30" spans="1:23">
      <c r="H30" s="14">
        <f t="shared" si="3"/>
        <v>2044</v>
      </c>
      <c r="I30" s="79">
        <f t="shared" si="10"/>
        <v>20370.347778515621</v>
      </c>
      <c r="J30" s="50">
        <f t="shared" si="4"/>
        <v>174777.58393966401</v>
      </c>
      <c r="K30" s="50">
        <f>IF(H30=Year_Open_to_Traffic?,Calculations!$E$4,K29+(K29*M30))</f>
        <v>172447.21615380197</v>
      </c>
      <c r="L30" s="50">
        <f>IF(AND(H30&gt;=Year_Open_to_Traffic?, Calculations!H30&lt;Year_Open_to_Traffic?+'Inputs &amp; Outputs'!B$21), 1, 0)</f>
        <v>0</v>
      </c>
      <c r="M30" s="65">
        <f t="shared" si="11"/>
        <v>1.6919309637311919E-2</v>
      </c>
      <c r="N30" s="71">
        <f t="shared" si="12"/>
        <v>0.86402900316065567</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20715.000000000055</v>
      </c>
      <c r="J31" s="50">
        <f t="shared" si="4"/>
        <v>177734.70000000045</v>
      </c>
      <c r="K31" s="50">
        <f>IF(H31=Year_Open_to_Traffic?,Calculations!$E$4,K30+(K30*M31))</f>
        <v>175364.90400000059</v>
      </c>
      <c r="L31" s="50">
        <f>IF(AND(H31&gt;=Year_Open_to_Traffic?, Calculations!H31&lt;Year_Open_to_Traffic?+'Inputs &amp; Outputs'!B$21), 1, 0)</f>
        <v>0</v>
      </c>
      <c r="M31" s="65">
        <f t="shared" si="11"/>
        <v>1.6919309637311919E-2</v>
      </c>
      <c r="N31" s="71">
        <f t="shared" si="12"/>
        <v>0.87864777740074873</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21065.483499136972</v>
      </c>
      <c r="J32" s="50">
        <f t="shared" si="4"/>
        <v>180741.84842259521</v>
      </c>
      <c r="K32" s="50">
        <f>IF(H32=Year_Open_to_Traffic?,Calculations!$E$4,K31+(K31*M32))</f>
        <v>178331.95711029408</v>
      </c>
      <c r="L32" s="50">
        <f>IF(AND(H32&gt;=Year_Open_to_Traffic?, Calculations!H32&lt;Year_Open_to_Traffic?+'Inputs &amp; Outputs'!B$21), 1, 0)</f>
        <v>0</v>
      </c>
      <c r="M32" s="65">
        <f t="shared" si="11"/>
        <v>1.6919309637311919E-2</v>
      </c>
      <c r="N32" s="71">
        <f t="shared" si="12"/>
        <v>0.89351389120872793</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21421.896937118556</v>
      </c>
      <c r="J33" s="50">
        <f t="shared" si="4"/>
        <v>183799.8757204772</v>
      </c>
      <c r="K33" s="50">
        <f>IF(H33=Year_Open_to_Traffic?,Calculations!$E$4,K32+(K32*M33))</f>
        <v>181349.21071087098</v>
      </c>
      <c r="L33" s="50">
        <f>IF(AND(H33&gt;=Year_Open_to_Traffic?, Calculations!H33&lt;Year_Open_to_Traffic?+'Inputs &amp; Outputs'!B$21), 1, 0)</f>
        <v>0</v>
      </c>
      <c r="M33" s="65">
        <f t="shared" si="11"/>
        <v>1.6919309637311919E-2</v>
      </c>
      <c r="N33" s="71">
        <f t="shared" si="12"/>
        <v>0.90863152939932779</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21784.34064441625</v>
      </c>
      <c r="J34" s="50">
        <f t="shared" si="4"/>
        <v>186909.6427290914</v>
      </c>
      <c r="K34" s="50">
        <f>IF(H34=Year_Open_to_Traffic?,Calculations!$E$4,K33+(K33*M34))</f>
        <v>184417.51415937033</v>
      </c>
      <c r="L34" s="50">
        <f>IF(AND(H34&gt;=Year_Open_to_Traffic?, Calculations!H34&lt;Year_Open_to_Traffic?+'Inputs &amp; Outputs'!B$21), 1, 0)</f>
        <v>0</v>
      </c>
      <c r="M34" s="65">
        <f t="shared" si="11"/>
        <v>1.6919309637311919E-2</v>
      </c>
      <c r="N34" s="71">
        <f t="shared" si="12"/>
        <v>0.92400494759145935</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22152.916649023809</v>
      </c>
      <c r="J35" s="50">
        <f t="shared" si="4"/>
        <v>190072.02484862425</v>
      </c>
      <c r="K35" s="50">
        <f>IF(H35=Year_Open_to_Traffic?,Calculations!$E$4,K34+(K34*M35))</f>
        <v>187537.73118397608</v>
      </c>
      <c r="L35" s="50">
        <f>IF(AND(H35&gt;=Year_Open_to_Traffic?, Calculations!H35&lt;Year_Open_to_Traffic?+'Inputs &amp; Outputs'!B$21), 1, 0)</f>
        <v>0</v>
      </c>
      <c r="M35" s="65">
        <f t="shared" si="11"/>
        <v>1.6919309637311919E-2</v>
      </c>
      <c r="N35" s="71">
        <f t="shared" si="12"/>
        <v>0.93963847340616746</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22527.728705178204</v>
      </c>
      <c r="J36" s="50">
        <f t="shared" si="4"/>
        <v>193287.91229042897</v>
      </c>
      <c r="K36" s="50">
        <f>IF(H36=Year_Open_to_Traffic?,Calculations!$E$4,K35+(K35*M36))</f>
        <v>190710.74012655675</v>
      </c>
      <c r="L36" s="50">
        <f>IF(AND(H36&gt;=Year_Open_to_Traffic?, Calculations!H36&lt;Year_Open_to_Traffic?+'Inputs &amp; Outputs'!B$21), 1, 0)</f>
        <v>0</v>
      </c>
      <c r="M36" s="65">
        <f t="shared" si="11"/>
        <v>1.6919309637311919E-2</v>
      </c>
      <c r="N36" s="71">
        <f t="shared" si="12"/>
        <v>0.95553650768485754</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485.95612446708333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52</v>
      </c>
    </row>
    <row r="11" spans="2:14">
      <c r="B11" s="73" t="s">
        <v>167</v>
      </c>
      <c r="C11" s="81">
        <v>0.4</v>
      </c>
      <c r="D11" s="74">
        <v>0.2</v>
      </c>
      <c r="E11" s="74">
        <v>0.12</v>
      </c>
      <c r="F11" s="74">
        <v>0.4</v>
      </c>
      <c r="G11" s="91">
        <v>0.3</v>
      </c>
      <c r="H11" s="93"/>
      <c r="L11" s="44" t="s">
        <v>168</v>
      </c>
    </row>
    <row r="12" spans="2:14">
      <c r="B12" s="73" t="s">
        <v>169</v>
      </c>
      <c r="C12" s="81">
        <v>0.2</v>
      </c>
      <c r="D12" s="74">
        <v>0.2</v>
      </c>
      <c r="E12" s="74">
        <v>0.12</v>
      </c>
      <c r="F12" s="74">
        <v>0.4</v>
      </c>
      <c r="G12" s="91">
        <v>0.3</v>
      </c>
      <c r="H12" s="93"/>
      <c r="L12" s="44" t="s">
        <v>170</v>
      </c>
    </row>
    <row r="13" spans="2:14">
      <c r="B13" s="73" t="s">
        <v>171</v>
      </c>
      <c r="C13" s="81">
        <v>0.2</v>
      </c>
      <c r="D13" s="74">
        <v>0.02</v>
      </c>
      <c r="E13" s="74">
        <v>0.02</v>
      </c>
      <c r="F13" s="74">
        <v>0.2</v>
      </c>
      <c r="G13" s="91">
        <v>0.1</v>
      </c>
      <c r="H13" s="93"/>
    </row>
    <row r="14" spans="2:14">
      <c r="B14" s="73" t="s">
        <v>172</v>
      </c>
      <c r="C14" s="81">
        <v>0.2</v>
      </c>
      <c r="D14" s="74">
        <v>0.1</v>
      </c>
      <c r="E14" s="74">
        <v>0.05</v>
      </c>
      <c r="F14" s="74">
        <v>0.2</v>
      </c>
      <c r="G14" s="74">
        <v>0.1</v>
      </c>
    </row>
    <row r="15" spans="2:14">
      <c r="B15" s="73" t="s">
        <v>73</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E4AA07-7CA2-4742-AB82-9B5A39039AA0}"/>
</file>

<file path=customXml/itemProps2.xml><?xml version="1.0" encoding="utf-8"?>
<ds:datastoreItem xmlns:ds="http://schemas.openxmlformats.org/officeDocument/2006/customXml" ds:itemID="{33C6E79F-F7CF-403B-BCAB-649367FE133D}"/>
</file>

<file path=customXml/itemProps3.xml><?xml version="1.0" encoding="utf-8"?>
<ds:datastoreItem xmlns:ds="http://schemas.openxmlformats.org/officeDocument/2006/customXml" ds:itemID="{8B8F3860-1D03-4821-B084-AB37C29F295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