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24_US90/"/>
    </mc:Choice>
  </mc:AlternateContent>
  <xr:revisionPtr revIDLastSave="5" documentId="8_{F1E8736E-6C19-4D17-BBB9-4D425D9878DC}" xr6:coauthVersionLast="40" xr6:coauthVersionMax="40" xr10:uidLastSave="{BE280B1D-C5A1-4858-8026-0C8E4C20C7A6}"/>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M21"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M22" i="12"/>
  <c r="J27" i="12"/>
  <c r="J30" i="12"/>
  <c r="J32" i="12"/>
  <c r="J31" i="12"/>
  <c r="J28" i="12"/>
  <c r="J33" i="12"/>
  <c r="J29" i="12"/>
  <c r="H20" i="7"/>
  <c r="I20" i="7"/>
  <c r="J20" i="7"/>
  <c r="G21" i="7"/>
  <c r="J29" i="5"/>
  <c r="K29" i="5"/>
  <c r="H29" i="5"/>
  <c r="S22" i="12"/>
  <c r="P23" i="12"/>
  <c r="Q22" i="12"/>
  <c r="M23" i="12"/>
  <c r="J5" i="12"/>
  <c r="R10" i="12"/>
  <c r="R11" i="12"/>
  <c r="R12" i="12"/>
  <c r="R13" i="12"/>
  <c r="R14" i="12"/>
  <c r="R15" i="12"/>
  <c r="R16" i="12"/>
  <c r="R17" i="12"/>
  <c r="R18" i="12"/>
  <c r="R19" i="12"/>
  <c r="R20" i="12"/>
  <c r="R21" i="12"/>
  <c r="R22" i="12"/>
  <c r="H21" i="7"/>
  <c r="I21" i="7"/>
  <c r="J21" i="7"/>
  <c r="G22" i="7"/>
  <c r="I29" i="5"/>
  <c r="B13" i="5"/>
  <c r="S23" i="12"/>
  <c r="P24" i="12"/>
  <c r="Q23" i="12"/>
  <c r="M24" i="12"/>
  <c r="R23" i="12"/>
  <c r="T4" i="12"/>
  <c r="U4" i="12"/>
  <c r="G23" i="7"/>
  <c r="H22" i="7"/>
  <c r="I22" i="7"/>
  <c r="J22" i="7"/>
  <c r="S24" i="12"/>
  <c r="P25" i="12"/>
  <c r="Q24" i="12"/>
  <c r="M25" i="12"/>
  <c r="R24" i="12"/>
  <c r="T5" i="12"/>
  <c r="U5" i="12"/>
  <c r="G24" i="7"/>
  <c r="H23" i="7"/>
  <c r="I23" i="7"/>
  <c r="J23" i="7"/>
  <c r="S25" i="12"/>
  <c r="P26" i="12"/>
  <c r="Q25" i="12"/>
  <c r="M26" i="12"/>
  <c r="R25" i="12"/>
  <c r="T6" i="12"/>
  <c r="U6" i="12"/>
  <c r="H24" i="7"/>
  <c r="I24" i="7"/>
  <c r="J24" i="7"/>
  <c r="G25" i="7"/>
  <c r="S26" i="12"/>
  <c r="P27" i="12"/>
  <c r="Q26" i="12"/>
  <c r="M27" i="12"/>
  <c r="R26" i="12"/>
  <c r="T7" i="12"/>
  <c r="U7" i="12"/>
  <c r="H25" i="7"/>
  <c r="I25" i="7"/>
  <c r="J25" i="7"/>
  <c r="G26" i="7"/>
  <c r="S27" i="12"/>
  <c r="P28" i="12"/>
  <c r="Q27" i="12"/>
  <c r="M28" i="12"/>
  <c r="R27" i="12"/>
  <c r="T8" i="12"/>
  <c r="U8" i="12"/>
  <c r="G27" i="7"/>
  <c r="H26" i="7"/>
  <c r="I26" i="7"/>
  <c r="J26" i="7"/>
  <c r="S28" i="12"/>
  <c r="P29" i="12"/>
  <c r="Q28" i="12"/>
  <c r="M29" i="12"/>
  <c r="R28" i="12"/>
  <c r="T9" i="12"/>
  <c r="U9" i="12"/>
  <c r="G28" i="7"/>
  <c r="H27" i="7"/>
  <c r="I27" i="7"/>
  <c r="J27" i="7"/>
  <c r="Q29" i="12"/>
  <c r="P30" i="12"/>
  <c r="Q30" i="12"/>
  <c r="M30" i="12"/>
  <c r="S29" i="12"/>
  <c r="R29" i="12"/>
  <c r="R30" i="12"/>
  <c r="T10" i="12"/>
  <c r="U10" i="12"/>
  <c r="H28" i="7"/>
  <c r="I28" i="7"/>
  <c r="J28" i="7"/>
  <c r="G29" i="7"/>
  <c r="P31" i="12"/>
  <c r="Q31" i="12"/>
  <c r="S30" i="12"/>
  <c r="M31" i="12"/>
  <c r="M32" i="12"/>
  <c r="R31" i="12"/>
  <c r="T11" i="12"/>
  <c r="U11" i="12"/>
  <c r="H29" i="7"/>
  <c r="I29" i="7"/>
  <c r="J29" i="7"/>
  <c r="B11" i="7"/>
  <c r="B12" i="7"/>
  <c r="M33" i="12"/>
  <c r="S32" i="12"/>
  <c r="P32" i="12"/>
  <c r="Q32" i="12"/>
  <c r="S31" i="12"/>
  <c r="R32" i="12"/>
  <c r="T12" i="12"/>
  <c r="U12" i="12"/>
  <c r="M34" i="12"/>
  <c r="S33" i="12"/>
  <c r="P33" i="12"/>
  <c r="Q33" i="12"/>
  <c r="R33" i="12"/>
  <c r="T13" i="12"/>
  <c r="U13" i="12"/>
  <c r="S34" i="12"/>
  <c r="M35" i="12"/>
  <c r="P34" i="12"/>
  <c r="Q34" i="12"/>
  <c r="R34" i="12"/>
  <c r="T14" i="12"/>
  <c r="U14" i="12"/>
  <c r="M36"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<sst xmlns="http://schemas.openxmlformats.org/spreadsheetml/2006/main" count="441" uniqueCount="286">
  <si>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</si>
  <si>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</si>
  <si>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</si>
  <si>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</si>
  <si>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</si>
  <si>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</si>
  <si>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</si>
  <si>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</si>
  <si>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</si>
  <si>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</si>
  <si>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</si>
  <si>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</si>
  <si>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</si>
  <si>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</si>
  <si>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</si>
  <si>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</si>
  <si>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</si>
  <si>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</si>
  <si>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</si>
  <si>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</si>
  <si>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</si>
  <si>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</si>
  <si>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</si>
  <si>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</si>
  <si>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</si>
  <si>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</si>
  <si>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</si>
  <si>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</si>
  <si>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</si>
  <si>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</si>
  <si>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</si>
  <si>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</si>
  <si>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</si>
  <si>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</si>
  <si>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</si>
  <si>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</si>
  <si>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</si>
  <si>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</si>
  <si>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</si>
  <si>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</si>
  <si>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</si>
  <si>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</si>
  <si>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</si>
  <si>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</si>
  <si>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</si>
  <si>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</si>
  <si>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</si>
  <si>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</si>
  <si>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 xml:space="preserve">US 90 Trinity River Truss Bridge </t>
  </si>
  <si>
    <t>County</t>
  </si>
  <si>
    <t>Liberty</t>
  </si>
  <si>
    <t>Data entered by the sponsors</t>
  </si>
  <si>
    <t>Facility Type</t>
  </si>
  <si>
    <t>Non-Freeway</t>
  </si>
  <si>
    <t>HGAC regional travel demand model data provided by HGAC upon request</t>
  </si>
  <si>
    <t>Street Name:</t>
  </si>
  <si>
    <t>US 90</t>
  </si>
  <si>
    <t>Populated based on selection in cell "C18"</t>
  </si>
  <si>
    <t>Limits (From)</t>
  </si>
  <si>
    <t>At Trinity River</t>
  </si>
  <si>
    <t>Benefits calculated by the template</t>
  </si>
  <si>
    <t>Limits (To)</t>
  </si>
  <si>
    <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</si>
  <si>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</si>
  <si>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</si>
  <si>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</si>
  <si>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</si>
  <si>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</si>
  <si>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</si>
  <si>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</si>
  <si>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Modernize Facility to Design Standards</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</si>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</sst>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3" zoomScaleNormal="100" workbookViewId="0" xr3:uid="{51F8DEE0-4D01-5F28-A812-FC0BD7CAC4A5}">
      <selection activeCell="F25" sqref="F25"/>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0.99</v>
      </c>
      <c r="D12" s="79"/>
      <c r="N12" s="133"/>
      <c r="O12" s="133"/>
      <c r="P12" s="133"/>
      <c r="Q12" s="133"/>
      <c r="R12" s="133"/>
      <c r="S12" s="133"/>
    </row>
    <row r="13" spans="2:19">
      <c r="B13" s="3" t="s">
        <v>64</v>
      </c>
      <c r="C13" s="97">
        <v>260</v>
      </c>
      <c r="D13" s="53"/>
    </row>
    <row r="14" spans="2:19">
      <c r="B14" s="3" t="s">
        <v>65</v>
      </c>
      <c r="C14" s="97" t="s">
        <v>66</v>
      </c>
      <c r="D14" s="53"/>
      <c r="G14" s="90"/>
    </row>
    <row r="15" spans="2:19">
      <c r="C15" s="53"/>
      <c r="D15" s="53"/>
    </row>
    <row r="16" spans="2:19">
      <c r="B16" s="5" t="s">
        <v>67</v>
      </c>
    </row>
    <row r="17" spans="2:13">
      <c r="B17" s="3" t="s">
        <v>68</v>
      </c>
      <c r="C17" s="97">
        <v>2024</v>
      </c>
      <c r="D17" s="80"/>
    </row>
    <row r="18" spans="2:13" ht="30">
      <c r="B18" s="3" t="s">
        <v>69</v>
      </c>
      <c r="C18" s="98" t="s">
        <v>70</v>
      </c>
    </row>
    <row r="19" spans="2:13">
      <c r="B19" s="99" t="s">
        <v>71</v>
      </c>
      <c r="C19" s="128">
        <f>VLOOKUP(C18,'CRF Lookup Table'!C3:F84,2, FALSE)</f>
        <v>501</v>
      </c>
      <c r="D19" s="81"/>
    </row>
    <row r="20" spans="2:13">
      <c r="B20" s="99" t="s">
        <v>72</v>
      </c>
      <c r="C20" s="129">
        <f>VLOOKUP(C18,'CRF Lookup Table'!C3:F84,3, FALSE)</f>
        <v>0.15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27940</v>
      </c>
      <c r="D25" s="82"/>
      <c r="I25" s="41"/>
    </row>
    <row r="26" spans="2:13">
      <c r="I26" s="41"/>
    </row>
    <row r="27" spans="2:13">
      <c r="B27" s="73" t="s">
        <v>76</v>
      </c>
      <c r="C27" s="74">
        <v>13272</v>
      </c>
      <c r="D27" s="82"/>
      <c r="I27" s="41"/>
    </row>
    <row r="28" spans="2:13">
      <c r="B28" s="73" t="s">
        <v>77</v>
      </c>
      <c r="C28" s="74">
        <v>23576</v>
      </c>
      <c r="D28" s="82"/>
      <c r="I28" s="41"/>
    </row>
    <row r="29" spans="2:13">
      <c r="B29" s="73" t="s">
        <v>78</v>
      </c>
      <c r="C29" s="75">
        <v>14810</v>
      </c>
      <c r="D29" s="58"/>
      <c r="I29" s="41"/>
    </row>
    <row r="30" spans="2:13">
      <c r="B30" s="73" t="s">
        <v>79</v>
      </c>
      <c r="C30" s="75">
        <v>23576</v>
      </c>
      <c r="D30" s="58"/>
      <c r="I30" s="41"/>
    </row>
    <row r="31" spans="2:13">
      <c r="B31" s="73" t="s">
        <v>80</v>
      </c>
      <c r="C31" s="74">
        <v>20715</v>
      </c>
      <c r="D31" s="82"/>
      <c r="H31" s="59"/>
    </row>
    <row r="32" spans="2:13">
      <c r="B32" s="73" t="s">
        <v>81</v>
      </c>
      <c r="C32" s="74">
        <v>23576</v>
      </c>
      <c r="D32" s="82"/>
    </row>
    <row r="34" spans="2:9" ht="18.75">
      <c r="B34" s="43" t="s">
        <v>82</v>
      </c>
      <c r="C34" s="44"/>
      <c r="D34" s="44"/>
      <c r="E34" s="44"/>
      <c r="F34" s="44"/>
      <c r="I34" s="59"/>
    </row>
    <row r="36" spans="2:9">
      <c r="B36" s="9" t="s">
        <v>83</v>
      </c>
    </row>
    <row r="37" spans="2:9">
      <c r="B37" s="8" t="s">
        <v>84</v>
      </c>
      <c r="C37" s="34">
        <f>Calculations!U37</f>
        <v>6754.3897849187224</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75">
      <c r="A4" s="13" t="s">
        <v>20</v>
      </c>
      <c r="B4" s="39">
        <v>2018</v>
      </c>
      <c r="D4" s="104" t="s">
        <v>94</v>
      </c>
      <c r="E4" s="105">
        <f>VLOOKUP(Year_Open_to_Traffic?,Calculations!M4:N36,2,Calculations!N4:N36)</f>
        <v>30693.217571156478</v>
      </c>
      <c r="G4" s="136" t="s">
        <v>95</v>
      </c>
      <c r="H4" s="136"/>
      <c r="I4" s="136"/>
      <c r="J4" s="136"/>
      <c r="L4" s="106"/>
      <c r="M4" s="107">
        <v>2018</v>
      </c>
      <c r="N4" s="108">
        <f>_2018_Volume_ADT</f>
        <v>27940</v>
      </c>
      <c r="O4" s="109" t="s">
        <v>96</v>
      </c>
      <c r="P4" s="110">
        <f>MIN(B12,1)</f>
        <v>0.56294536817102137</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75">
      <c r="A5" s="13" t="s">
        <v>97</v>
      </c>
      <c r="B5" s="13">
        <f>Service_Life</f>
        <v>20</v>
      </c>
      <c r="D5" s="104" t="s">
        <v>98</v>
      </c>
      <c r="E5" s="105">
        <f>$E$4*'Inputs &amp; Outputs'!$C$12</f>
        <v>30386.285395444913</v>
      </c>
      <c r="G5" s="137" t="s">
        <v>99</v>
      </c>
      <c r="H5" s="137"/>
      <c r="I5" s="137"/>
      <c r="J5" s="111">
        <f>SUMPRODUCT(Possible_Crash_Reductions,'Value of Statistical Life'!E5:E11)</f>
        <v>788308.71781246562</v>
      </c>
      <c r="L5" s="106"/>
      <c r="M5" s="11">
        <f t="shared" ref="M5:M36" si="1">M4+1</f>
        <v>2019</v>
      </c>
      <c r="N5" s="112">
        <f>N4+(N4*O5)</f>
        <v>28381.090015930145</v>
      </c>
      <c r="O5" s="113">
        <f t="shared" ref="O5:O11" si="2">IF(ISERROR(_2025_2045_Demand_Growth),_2018_2045_Demand_Growth,_2018_2025_Demand_Growth)</f>
        <v>1.5787044235151981E-2</v>
      </c>
      <c r="P5" s="114">
        <f t="shared" ref="P5:P11" si="3">P4*(1+IFERROR(_2018_2025_V_C_Growth,_2018_2045_V_C_Growth))</f>
        <v>0.57183261160031118</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75">
      <c r="A6" s="13" t="s">
        <v>100</v>
      </c>
      <c r="B6" s="13">
        <v>260</v>
      </c>
      <c r="D6" s="104" t="s">
        <v>101</v>
      </c>
      <c r="E6" s="105">
        <f>$E$5*$B$6</f>
        <v>7900434.202815677</v>
      </c>
      <c r="L6" s="106"/>
      <c r="M6" s="107">
        <f t="shared" si="1"/>
        <v>2020</v>
      </c>
      <c r="N6" s="112">
        <f t="shared" ref="N6:N36" si="6">N5+(N5*O6)</f>
        <v>28829.143539453464</v>
      </c>
      <c r="O6" s="113">
        <f t="shared" si="2"/>
        <v>1.5787044235151981E-2</v>
      </c>
      <c r="P6" s="114">
        <f t="shared" si="3"/>
        <v>0.5808601583347478</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75">
      <c r="B7" s="53"/>
      <c r="L7" s="106"/>
      <c r="M7" s="11">
        <f t="shared" si="1"/>
        <v>2021</v>
      </c>
      <c r="N7" s="112">
        <f t="shared" si="6"/>
        <v>29284.270503772361</v>
      </c>
      <c r="O7" s="113">
        <f t="shared" si="2"/>
        <v>1.5787044235151981E-2</v>
      </c>
      <c r="P7" s="114">
        <f t="shared" si="3"/>
        <v>0.59003022334881583</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75">
      <c r="A8" s="116" t="s">
        <v>21</v>
      </c>
      <c r="B8" s="100"/>
      <c r="D8" s="117" t="s">
        <v>102</v>
      </c>
      <c r="E8" s="57"/>
      <c r="L8" s="106"/>
      <c r="M8" s="107">
        <f t="shared" si="1"/>
        <v>2022</v>
      </c>
      <c r="N8" s="112">
        <f t="shared" si="6"/>
        <v>29746.58257760957</v>
      </c>
      <c r="O8" s="113">
        <f t="shared" si="2"/>
        <v>1.5787044235151981E-2</v>
      </c>
      <c r="P8" s="114">
        <f t="shared" si="3"/>
        <v>0.59934505658490023</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75">
      <c r="A9" s="39" t="s">
        <v>103</v>
      </c>
      <c r="B9" s="118">
        <f>(_2025_Peak_Period_Volume/'Inputs &amp; Outputs'!$C$27)^(1/(2025-2018))-1</f>
        <v>1.5787044235151981E-2</v>
      </c>
      <c r="D9" s="39" t="s">
        <v>104</v>
      </c>
      <c r="E9" s="119">
        <f>IF('Inputs &amp; Outputs'!$C$8='CRASH RATES'!$D$3, VLOOKUP('Inputs &amp; Outputs'!$C$7,'CRASH RATES'!$C$14:$J$21,3,FALSE), VLOOKUP('Inputs &amp; Outputs'!$C$7,'CRASH RATES'!$C$28:$J$35,3,FALSE))</f>
        <v>5.3130646924395055</v>
      </c>
      <c r="F9" s="85"/>
      <c r="L9" s="106"/>
      <c r="M9" s="11">
        <f t="shared" si="1"/>
        <v>2023</v>
      </c>
      <c r="N9" s="112">
        <f t="shared" si="6"/>
        <v>30216.193192606894</v>
      </c>
      <c r="O9" s="113">
        <f t="shared" si="2"/>
        <v>1.5787044235151981E-2</v>
      </c>
      <c r="P9" s="114">
        <f t="shared" si="3"/>
        <v>0.60880694350532572</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75">
      <c r="A10" s="39" t="s">
        <v>105</v>
      </c>
      <c r="B10" s="118">
        <f>(_2045_Peak_Period_Volume/_2025_Peak_Period_Volume)^(1/(2045-2025))-1</f>
        <v>1.6919309637311919E-2</v>
      </c>
      <c r="D10" s="39" t="s">
        <v>106</v>
      </c>
      <c r="E10" s="119">
        <f>IF('Inputs &amp; Outputs'!$C$8='CRASH RATES'!$D$3, VLOOKUP('Inputs &amp; Outputs'!$C$7,'CRASH RATES'!$C$14:$J$21,4,FALSE), VLOOKUP('Inputs &amp; Outputs'!$C$7,'CRASH RATES'!$C$28:$J$35,4,FALSE))</f>
        <v>9.8447963418732023</v>
      </c>
      <c r="F10" s="85"/>
      <c r="L10" s="106"/>
      <c r="M10" s="107">
        <f t="shared" si="1"/>
        <v>2024</v>
      </c>
      <c r="N10" s="112">
        <f t="shared" si="6"/>
        <v>30693.217571156478</v>
      </c>
      <c r="O10" s="113">
        <f t="shared" si="2"/>
        <v>1.5787044235151981E-2</v>
      </c>
      <c r="P10" s="114">
        <f t="shared" si="3"/>
        <v>0.61841820565311201</v>
      </c>
      <c r="Q10" s="115">
        <f t="shared" si="4"/>
        <v>1</v>
      </c>
      <c r="R10" s="30">
        <f>IF(M10=Year_Open_to_Traffic?,Calculations!$J$5,Calculations!R9+(Calculations!R9*Calculations!O10*Q10))</f>
        <v>788308.71781246562</v>
      </c>
      <c r="S10" s="45">
        <f t="shared" si="0"/>
        <v>1</v>
      </c>
      <c r="T10" s="30">
        <f t="shared" si="5"/>
        <v>788.3087178124656</v>
      </c>
      <c r="U10" s="31">
        <f>T10/(1+Real_Discount_Rate)^(Calculations!M10-'Assumed Values'!$C$5)</f>
        <v>525.28338408110199</v>
      </c>
    </row>
    <row r="11" spans="1:21" ht="15.75">
      <c r="A11" s="39" t="s">
        <v>107</v>
      </c>
      <c r="B11" s="118">
        <f>(_2045_Peak_Period_Volume/'Inputs &amp; Outputs'!$C$27)^(1/(2045-2018))-1</f>
        <v>1.6625638215219007E-2</v>
      </c>
      <c r="D11" s="39" t="s">
        <v>108</v>
      </c>
      <c r="E11" s="119">
        <f>IF('Inputs &amp; Outputs'!$C$8='CRASH RATES'!$D$3, VLOOKUP('Inputs &amp; Outputs'!$C$7,'CRASH RATES'!$C$14:$J$21,5,FALSE), VLOOKUP('Inputs &amp; Outputs'!$C$7,'CRASH RATES'!$C$28:$J$35,5,FALSE))</f>
        <v>24.065057724578939</v>
      </c>
      <c r="F11" s="85"/>
      <c r="L11" s="106"/>
      <c r="M11" s="11">
        <f t="shared" si="1"/>
        <v>2025</v>
      </c>
      <c r="N11" s="112">
        <f t="shared" si="6"/>
        <v>31177.77275467147</v>
      </c>
      <c r="O11" s="113">
        <f t="shared" si="2"/>
        <v>1.5787044235151981E-2</v>
      </c>
      <c r="P11" s="114">
        <f t="shared" si="3"/>
        <v>0.62818120122158105</v>
      </c>
      <c r="Q11" s="115">
        <f t="shared" si="4"/>
        <v>1</v>
      </c>
      <c r="R11" s="30">
        <f>IF(M11=Year_Open_to_Traffic?,Calculations!$J$5,Calculations!R10+(Calculations!R10*Calculations!O11*Q11))</f>
        <v>800753.78241152701</v>
      </c>
      <c r="S11" s="45">
        <f t="shared" si="0"/>
        <v>1</v>
      </c>
      <c r="T11" s="30">
        <f t="shared" si="5"/>
        <v>800.75378241152703</v>
      </c>
      <c r="U11" s="31">
        <f>T11/(1+Real_Discount_Rate)^(Calculations!M11-'Assumed Values'!$C$5)</f>
        <v>498.66921130988851</v>
      </c>
    </row>
    <row r="12" spans="1:21" ht="15.75">
      <c r="A12" s="39" t="s">
        <v>109</v>
      </c>
      <c r="B12" s="120">
        <f>'Inputs &amp; Outputs'!C27/_2018_Peak_Period_Capacity</f>
        <v>0.56294536817102137</v>
      </c>
      <c r="D12" s="39" t="s">
        <v>110</v>
      </c>
      <c r="E12" s="119">
        <f>IF('Inputs &amp; Outputs'!$C$8='CRASH RATES'!$D$3, VLOOKUP('Inputs &amp; Outputs'!$C$7,'CRASH RATES'!$C$14:$J$21,6,FALSE), VLOOKUP('Inputs &amp; Outputs'!$C$7,'CRASH RATES'!$C$28:$J$35,6,FALSE))</f>
        <v>52.349313881389243</v>
      </c>
      <c r="F12" s="85"/>
      <c r="L12" s="106"/>
      <c r="M12" s="107">
        <f t="shared" si="1"/>
        <v>2026</v>
      </c>
      <c r="N12" s="112">
        <f t="shared" si="6"/>
        <v>31705.279145709505</v>
      </c>
      <c r="O12" s="113">
        <f t="shared" ref="O12:O36" si="7">IFERROR(_2025_2045_Demand_Growth,_2018_2045_Demand_Growth)</f>
        <v>1.6919309637311919E-2</v>
      </c>
      <c r="P12" s="114">
        <f t="shared" ref="P12:P36" si="8">P11*(1+IFERROR(_2025_2040_V_C_Growth,_2018_2045_V_C_Growth))</f>
        <v>0.6388095934733875</v>
      </c>
      <c r="Q12" s="115">
        <f t="shared" si="4"/>
        <v>1</v>
      </c>
      <c r="R12" s="30">
        <f>IF(M12=Year_Open_to_Traffic?,Calculations!$J$5,Calculations!R11+(Calculations!R11*Calculations!O12*Q12))</f>
        <v>814301.98359939631</v>
      </c>
      <c r="S12" s="45">
        <f t="shared" si="0"/>
        <v>1</v>
      </c>
      <c r="T12" s="30">
        <f t="shared" si="5"/>
        <v>814.30198359939629</v>
      </c>
      <c r="U12" s="31">
        <f>T12/(1+Real_Discount_Rate)^(Calculations!M12-'Assumed Values'!$C$5)</f>
        <v>473.93116832021923</v>
      </c>
    </row>
    <row r="13" spans="1:21" ht="15.75">
      <c r="A13" s="39" t="s">
        <v>111</v>
      </c>
      <c r="B13" s="120">
        <f>_2025_Peak_Period_Volume/_2025_Peak_Period_Capacity</f>
        <v>0.62818120122158128</v>
      </c>
      <c r="D13" s="39" t="s">
        <v>112</v>
      </c>
      <c r="E13" s="119">
        <f>IF('Inputs &amp; Outputs'!$C$8='CRASH RATES'!$D$3, VLOOKUP('Inputs &amp; Outputs'!$C$7,'CRASH RATES'!$C$14:$J$21,7,FALSE), VLOOKUP('Inputs &amp; Outputs'!$C$7,'CRASH RATES'!$C$28:$J$35,7,FALSE))</f>
        <v>389.41638863409548</v>
      </c>
      <c r="F13" s="85"/>
      <c r="L13" s="106"/>
      <c r="M13" s="11">
        <f t="shared" si="1"/>
        <v>2027</v>
      </c>
      <c r="N13" s="112">
        <f t="shared" si="6"/>
        <v>32241.71058071317</v>
      </c>
      <c r="O13" s="113">
        <f t="shared" si="7"/>
        <v>1.6919309637311919E-2</v>
      </c>
      <c r="P13" s="114">
        <f t="shared" si="8"/>
        <v>0.64961781078464909</v>
      </c>
      <c r="Q13" s="115">
        <f t="shared" si="4"/>
        <v>1</v>
      </c>
      <c r="R13" s="30">
        <f>IF(M13=Year_Open_to_Traffic?,Calculations!$J$5,Calculations!R12+(Calculations!R12*Calculations!O13*Q13))</f>
        <v>828079.4109981918</v>
      </c>
      <c r="S13" s="45">
        <f t="shared" si="0"/>
        <v>1</v>
      </c>
      <c r="T13" s="30">
        <f t="shared" si="5"/>
        <v>828.07941099819175</v>
      </c>
      <c r="U13" s="31">
        <f>T13/(1+Real_Discount_Rate)^(Calculations!M13-'Assumed Values'!$C$5)</f>
        <v>450.42033318112334</v>
      </c>
    </row>
    <row r="14" spans="1:21" ht="15.75">
      <c r="A14" s="39" t="s">
        <v>113</v>
      </c>
      <c r="B14" s="120">
        <f>_2045_Peak_Period_Volume/_2045_Peak_Period_Capacity</f>
        <v>0.87864777740074651</v>
      </c>
      <c r="D14" s="39" t="s">
        <v>114</v>
      </c>
      <c r="E14" s="119">
        <f>IF('Inputs &amp; Outputs'!$C$8='CRASH RATES'!$D$3, VLOOKUP('Inputs &amp; Outputs'!$C$7,'CRASH RATES'!$C$14:$J$21,8,FALSE), VLOOKUP('Inputs &amp; Outputs'!$C$7,'CRASH RATES'!$C$28:$J$35,8,FALSE))</f>
        <v>13.126395122497602</v>
      </c>
      <c r="F14" s="85"/>
      <c r="L14" s="106"/>
      <c r="M14" s="107">
        <f>M13+1</f>
        <v>2028</v>
      </c>
      <c r="N14" s="112">
        <f t="shared" si="6"/>
        <v>32787.218065264853</v>
      </c>
      <c r="O14" s="113">
        <f t="shared" si="7"/>
        <v>1.6919309637311919E-2</v>
      </c>
      <c r="P14" s="114">
        <f>P13*(1+IFERROR(_2025_2040_V_C_Growth,_2018_2045_V_C_Growth))</f>
        <v>0.66060889567122727</v>
      </c>
      <c r="Q14" s="115">
        <f t="shared" si="4"/>
        <v>1</v>
      </c>
      <c r="R14" s="30">
        <f>IF(M14=Year_Open_to_Traffic?,Calculations!$J$5,Calculations!R13+(Calculations!R13*Calculations!O14*Q14))</f>
        <v>842089.94295715308</v>
      </c>
      <c r="S14" s="45">
        <f t="shared" si="0"/>
        <v>1</v>
      </c>
      <c r="T14" s="30">
        <f t="shared" si="5"/>
        <v>842.08994295715308</v>
      </c>
      <c r="U14" s="31">
        <f>T14/(1+Real_Discount_Rate)^(Calculations!M14-'Assumed Values'!$C$5)</f>
        <v>428.07582641603364</v>
      </c>
    </row>
    <row r="15" spans="1:21" ht="15.75">
      <c r="A15" s="39" t="s">
        <v>115</v>
      </c>
      <c r="B15" s="118">
        <f>(B13/B12)^(1/(2025-2018))-1</f>
        <v>1.5787044235151981E-2</v>
      </c>
      <c r="L15" s="106"/>
      <c r="M15" s="11">
        <f>M14+1</f>
        <v>2029</v>
      </c>
      <c r="N15" s="112">
        <f t="shared" si="6"/>
        <v>33341.955159857134</v>
      </c>
      <c r="O15" s="113">
        <f t="shared" si="7"/>
        <v>1.6919309637311919E-2</v>
      </c>
      <c r="P15" s="114">
        <f>P14*(1+IFERROR(_2025_2040_V_C_Growth,_2018_2045_V_C_Growth))</f>
        <v>0.67178594212625142</v>
      </c>
      <c r="Q15" s="115">
        <f t="shared" si="4"/>
        <v>1</v>
      </c>
      <c r="R15" s="30">
        <f>IF(M15=Year_Open_to_Traffic?,Calculations!$J$5,Calculations!R14+(Calculations!R14*Calculations!O15*Q15))</f>
        <v>856337.52344451146</v>
      </c>
      <c r="S15" s="45">
        <f t="shared" si="0"/>
        <v>1</v>
      </c>
      <c r="T15" s="30">
        <f t="shared" si="5"/>
        <v>856.33752344451148</v>
      </c>
      <c r="U15" s="31">
        <f>T15/(1+Real_Discount_Rate)^(Calculations!M15-'Assumed Values'!$C$5)</f>
        <v>406.83978866487348</v>
      </c>
    </row>
    <row r="16" spans="1:21" ht="15.75">
      <c r="A16" s="39" t="s">
        <v>116</v>
      </c>
      <c r="B16" s="118">
        <f>(B14/B13)^(1/(2045-2025))-1</f>
        <v>1.6919309637311919E-2</v>
      </c>
      <c r="D16" s="121" t="s">
        <v>117</v>
      </c>
      <c r="E16" s="57"/>
      <c r="L16" s="106"/>
      <c r="M16" s="107">
        <f t="shared" si="1"/>
        <v>2030</v>
      </c>
      <c r="N16" s="112">
        <f t="shared" si="6"/>
        <v>33906.078023120128</v>
      </c>
      <c r="O16" s="113">
        <f t="shared" si="7"/>
        <v>1.6919309637311919E-2</v>
      </c>
      <c r="P16" s="114">
        <f t="shared" si="8"/>
        <v>0.68315209649107878</v>
      </c>
      <c r="Q16" s="115">
        <f t="shared" si="4"/>
        <v>1</v>
      </c>
      <c r="R16" s="30">
        <f>IF(M16=Year_Open_to_Traffic?,Calculations!$J$5,Calculations!R15+(Calculations!R15*Calculations!O16*Q16))</f>
        <v>870826.16315771802</v>
      </c>
      <c r="S16" s="45">
        <f t="shared" si="0"/>
        <v>1</v>
      </c>
      <c r="T16" s="30">
        <f t="shared" si="5"/>
        <v>870.82616315771804</v>
      </c>
      <c r="U16" s="31">
        <f>T16/(1+Real_Discount_Rate)^(Calculations!M16-'Assumed Values'!$C$5)</f>
        <v>386.65723086175058</v>
      </c>
    </row>
    <row r="17" spans="1:21" ht="15.75">
      <c r="A17" s="39" t="s">
        <v>118</v>
      </c>
      <c r="B17" s="118">
        <f>(B14/B12)^(1/(2045-2018))-1</f>
        <v>1.6625638215219007E-2</v>
      </c>
      <c r="D17" s="39" t="s">
        <v>119</v>
      </c>
      <c r="E17" s="122">
        <f>($E$6*Death_Rate)/100000000</f>
        <v>0.41975518017921426</v>
      </c>
      <c r="L17" s="106"/>
      <c r="M17" s="11">
        <f t="shared" si="1"/>
        <v>2031</v>
      </c>
      <c r="N17" s="112">
        <f t="shared" si="6"/>
        <v>34479.745455780154</v>
      </c>
      <c r="O17" s="113">
        <f t="shared" si="7"/>
        <v>1.6919309637311919E-2</v>
      </c>
      <c r="P17" s="114">
        <f t="shared" si="8"/>
        <v>0.69471055834099016</v>
      </c>
      <c r="Q17" s="115">
        <f t="shared" si="4"/>
        <v>1</v>
      </c>
      <c r="R17" s="30">
        <f>IF(M17=Year_Open_to_Traffic?,Calculations!$J$5,Calculations!R16+(Calculations!R16*Calculations!O17*Q17))</f>
        <v>885559.94065245579</v>
      </c>
      <c r="S17" s="45">
        <f t="shared" si="0"/>
        <v>1</v>
      </c>
      <c r="T17" s="30">
        <f t="shared" si="5"/>
        <v>885.55994065245579</v>
      </c>
      <c r="U17" s="31">
        <f>T17/(1+Real_Discount_Rate)^(Calculations!M17-'Assumed Values'!$C$5)</f>
        <v>367.47589184505244</v>
      </c>
    </row>
    <row r="18" spans="1:21" ht="15.75">
      <c r="D18" s="39" t="s">
        <v>120</v>
      </c>
      <c r="E18" s="122">
        <f>($E$6*Incap_Injry_Rate)/100000000</f>
        <v>0.77778165739089711</v>
      </c>
      <c r="L18" s="106"/>
      <c r="M18" s="107">
        <f t="shared" si="1"/>
        <v>2032</v>
      </c>
      <c r="N18" s="112">
        <f t="shared" si="6"/>
        <v>35063.118945362199</v>
      </c>
      <c r="O18" s="113">
        <f t="shared" si="7"/>
        <v>1.6919309637311919E-2</v>
      </c>
      <c r="P18" s="114">
        <f t="shared" si="8"/>
        <v>0.7064645813858712</v>
      </c>
      <c r="Q18" s="115">
        <f t="shared" si="4"/>
        <v>1</v>
      </c>
      <c r="R18" s="30">
        <f>IF(M18=Year_Open_to_Traffic?,Calculations!$J$5,Calculations!R17+(Calculations!R17*Calculations!O18*Q18))</f>
        <v>900543.00349075429</v>
      </c>
      <c r="S18" s="45">
        <f t="shared" si="0"/>
        <v>1</v>
      </c>
      <c r="T18" s="30">
        <f t="shared" si="5"/>
        <v>900.54300349075424</v>
      </c>
      <c r="U18" s="31">
        <f>T18/(1+Real_Discount_Rate)^(Calculations!M18-'Assumed Values'!$C$5)</f>
        <v>349.2461030312395</v>
      </c>
    </row>
    <row r="19" spans="1:21" ht="15.75">
      <c r="D19" s="39" t="s">
        <v>121</v>
      </c>
      <c r="E19" s="122">
        <f>($E$6*Nonincap_Injry_Rate)/100000000</f>
        <v>1.9012440513999707</v>
      </c>
      <c r="L19" s="106"/>
      <c r="M19" s="11">
        <f t="shared" si="1"/>
        <v>2033</v>
      </c>
      <c r="N19" s="112">
        <f t="shared" si="6"/>
        <v>35656.362711648682</v>
      </c>
      <c r="O19" s="113">
        <f t="shared" si="7"/>
        <v>1.6919309637311919E-2</v>
      </c>
      <c r="P19" s="114">
        <f t="shared" si="8"/>
        <v>0.71841747438613268</v>
      </c>
      <c r="Q19" s="115">
        <f t="shared" si="4"/>
        <v>1</v>
      </c>
      <c r="R19" s="30">
        <f>IF(M19=Year_Open_to_Traffic?,Calculations!$J$5,Calculations!R18+(Calculations!R18*Calculations!O19*Q19))</f>
        <v>915779.56940852921</v>
      </c>
      <c r="S19" s="45">
        <f t="shared" si="0"/>
        <v>1</v>
      </c>
      <c r="T19" s="30">
        <f t="shared" si="5"/>
        <v>915.77956940852926</v>
      </c>
      <c r="U19" s="31">
        <f>T19/(1+Real_Discount_Rate)^(Calculations!M19-'Assumed Values'!$C$5)</f>
        <v>331.92065980191546</v>
      </c>
    </row>
    <row r="20" spans="1:21" ht="15.75">
      <c r="D20" s="39" t="s">
        <v>122</v>
      </c>
      <c r="E20" s="122">
        <f>($E$6*Poss_Injry_Rate/100000000)</f>
        <v>4.135823098824611</v>
      </c>
      <c r="L20" s="106"/>
      <c r="M20" s="107">
        <f t="shared" si="1"/>
        <v>2034</v>
      </c>
      <c r="N20" s="112">
        <f t="shared" si="6"/>
        <v>36259.643752907366</v>
      </c>
      <c r="O20" s="113">
        <f t="shared" si="7"/>
        <v>1.6919309637311919E-2</v>
      </c>
      <c r="P20" s="114">
        <f t="shared" si="8"/>
        <v>0.73057260208412722</v>
      </c>
      <c r="Q20" s="115">
        <f t="shared" si="4"/>
        <v>1</v>
      </c>
      <c r="R20" s="30">
        <f>IF(M20=Year_Open_to_Traffic?,Calculations!$J$5,Calculations!R19+(Calculations!R19*Calculations!O20*Q20))</f>
        <v>931273.92750287626</v>
      </c>
      <c r="S20" s="45">
        <f t="shared" si="0"/>
        <v>1</v>
      </c>
      <c r="T20" s="30">
        <f t="shared" si="5"/>
        <v>931.27392750287629</v>
      </c>
      <c r="U20" s="31">
        <f>T20/(1+Real_Discount_Rate)^(Calculations!M20-'Assumed Values'!$C$5)</f>
        <v>315.45469927114482</v>
      </c>
    </row>
    <row r="21" spans="1:21" ht="15.75">
      <c r="D21" s="39" t="s">
        <v>123</v>
      </c>
      <c r="E21" s="122">
        <f>($E$6*Non_Injry_Rate)/100000000</f>
        <v>30.765585559017701</v>
      </c>
      <c r="L21" s="106"/>
      <c r="M21" s="11">
        <f>M20+1</f>
        <v>2035</v>
      </c>
      <c r="N21" s="112">
        <f t="shared" si="6"/>
        <v>36873.131892901431</v>
      </c>
      <c r="O21" s="113">
        <f t="shared" si="7"/>
        <v>1.6919309637311919E-2</v>
      </c>
      <c r="P21" s="114">
        <f>P20*(1+IFERROR(_2025_2040_V_C_Growth,_2018_2045_V_C_Growth))</f>
        <v>0.7429333861513252</v>
      </c>
      <c r="Q21" s="115">
        <f t="shared" si="4"/>
        <v>1</v>
      </c>
      <c r="R21" s="30">
        <f>IF(M21=Year_Open_to_Traffic?,Calculations!$J$5,Calculations!R20+(Calculations!R20*Calculations!O21*Q21))</f>
        <v>947030.43943945295</v>
      </c>
      <c r="S21" s="45">
        <f t="shared" si="0"/>
        <v>1</v>
      </c>
      <c r="T21" s="30">
        <f t="shared" si="5"/>
        <v>947.03043943945295</v>
      </c>
      <c r="U21" s="31">
        <f>T21/(1+Real_Discount_Rate)^(Calculations!M21-'Assumed Values'!$C$5)</f>
        <v>299.80558411650321</v>
      </c>
    </row>
    <row r="22" spans="1:21" ht="15.75">
      <c r="D22" s="39" t="s">
        <v>124</v>
      </c>
      <c r="E22" s="122">
        <f>($E$6*Unkn_Injry_Rate)/100000000</f>
        <v>1.0370422098545293</v>
      </c>
      <c r="L22" s="106"/>
      <c r="M22" s="107">
        <f>M21+1</f>
        <v>2036</v>
      </c>
      <c r="N22" s="112">
        <f t="shared" si="6"/>
        <v>37496.999828694868</v>
      </c>
      <c r="O22" s="113">
        <f t="shared" si="7"/>
        <v>1.6919309637311919E-2</v>
      </c>
      <c r="P22" s="114">
        <f t="shared" si="8"/>
        <v>0.75550330615151606</v>
      </c>
      <c r="Q22" s="115">
        <f t="shared" si="4"/>
        <v>1</v>
      </c>
      <c r="R22" s="30">
        <f>IF(M22=Year_Open_to_Traffic?,Calculations!$J$5,Calculations!R21+(Calculations!R21*Calculations!O22*Q22))</f>
        <v>963053.54068028869</v>
      </c>
      <c r="S22" s="45">
        <f t="shared" si="0"/>
        <v>1</v>
      </c>
      <c r="T22" s="30">
        <f t="shared" si="5"/>
        <v>963.05354068028873</v>
      </c>
      <c r="U22" s="31">
        <f>T22/(1+Real_Discount_Rate)^(Calculations!M22-'Assumed Values'!$C$5)</f>
        <v>284.93279217305189</v>
      </c>
    </row>
    <row r="23" spans="1:21" ht="15.75">
      <c r="L23" s="106"/>
      <c r="M23" s="11">
        <f t="shared" si="1"/>
        <v>2037</v>
      </c>
      <c r="N23" s="112">
        <f t="shared" si="6"/>
        <v>38131.423179266792</v>
      </c>
      <c r="O23" s="113">
        <f t="shared" si="7"/>
        <v>1.6919309637311919E-2</v>
      </c>
      <c r="P23" s="114">
        <f t="shared" si="8"/>
        <v>0.76828590052030643</v>
      </c>
      <c r="Q23" s="115">
        <f t="shared" si="4"/>
        <v>1</v>
      </c>
      <c r="R23" s="30">
        <f>IF(M23=Year_Open_to_Traffic?,Calculations!$J$5,Calculations!R22+(Calculations!R22*Calculations!O23*Q23))</f>
        <v>979347.74173236801</v>
      </c>
      <c r="S23" s="45">
        <f t="shared" si="0"/>
        <v>1</v>
      </c>
      <c r="T23" s="30">
        <f t="shared" si="5"/>
        <v>979.34774173236804</v>
      </c>
      <c r="U23" s="31">
        <f>T23/(1+Real_Discount_Rate)^(Calculations!M23-'Assumed Values'!$C$5)</f>
        <v>270.79781150434724</v>
      </c>
    </row>
    <row r="24" spans="1:21" ht="15.75">
      <c r="L24" s="106"/>
      <c r="M24" s="107">
        <f t="shared" si="1"/>
        <v>2038</v>
      </c>
      <c r="N24" s="112">
        <f t="shared" si="6"/>
        <v>38776.580534948182</v>
      </c>
      <c r="O24" s="113">
        <f t="shared" si="7"/>
        <v>1.6919309637311919E-2</v>
      </c>
      <c r="P24" s="114">
        <f t="shared" si="8"/>
        <v>0.78128476756119047</v>
      </c>
      <c r="Q24" s="115">
        <f t="shared" si="4"/>
        <v>1</v>
      </c>
      <c r="R24" s="30">
        <f>IF(M24=Year_Open_to_Traffic?,Calculations!$J$5,Calculations!R23+(Calculations!R23*Calculations!O24*Q24))</f>
        <v>995917.62941734015</v>
      </c>
      <c r="S24" s="45">
        <f t="shared" si="0"/>
        <v>1</v>
      </c>
      <c r="T24" s="30">
        <f t="shared" si="5"/>
        <v>995.91762941734021</v>
      </c>
      <c r="U24" s="31">
        <f>T24/(1+Real_Discount_Rate)^(Calculations!M24-'Assumed Values'!$C$5)</f>
        <v>257.36404067878107</v>
      </c>
    </row>
    <row r="25" spans="1:21" ht="15.75">
      <c r="A25" s="134" t="s">
        <v>125</v>
      </c>
      <c r="B25" s="134"/>
      <c r="D25" s="101" t="s">
        <v>119</v>
      </c>
      <c r="E25" s="101" t="s">
        <v>120</v>
      </c>
      <c r="F25" s="101" t="s">
        <v>121</v>
      </c>
      <c r="G25" s="101" t="s">
        <v>122</v>
      </c>
      <c r="H25" s="101" t="s">
        <v>123</v>
      </c>
      <c r="I25" s="101" t="s">
        <v>124</v>
      </c>
      <c r="J25" s="135" t="s">
        <v>126</v>
      </c>
      <c r="L25" s="106"/>
      <c r="M25" s="11">
        <f t="shared" si="1"/>
        <v>2039</v>
      </c>
      <c r="N25" s="112">
        <f t="shared" si="6"/>
        <v>39432.653507695133</v>
      </c>
      <c r="O25" s="113">
        <f t="shared" si="7"/>
        <v>1.6919309637311919E-2</v>
      </c>
      <c r="P25" s="114">
        <f t="shared" si="8"/>
        <v>0.79450356645847353</v>
      </c>
      <c r="Q25" s="115">
        <f t="shared" si="4"/>
        <v>1</v>
      </c>
      <c r="R25" s="30">
        <f>IF(M25=Year_Open_to_Traffic?,Calculations!$J$5,Calculations!R24+(Calculations!R24*Calculations!O25*Q25))</f>
        <v>1012767.8681627098</v>
      </c>
      <c r="S25" s="45">
        <f t="shared" si="0"/>
        <v>1</v>
      </c>
      <c r="T25" s="30">
        <f t="shared" si="5"/>
        <v>1012.7678681627098</v>
      </c>
      <c r="U25" s="31">
        <f>T25/(1+Real_Discount_Rate)^(Calculations!M25-'Assumed Values'!$C$5)</f>
        <v>244.59669399302345</v>
      </c>
    </row>
    <row r="26" spans="1:21" ht="15.75">
      <c r="A26" s="134"/>
      <c r="B26" s="134"/>
      <c r="D26" s="123">
        <f>Calculations!E17</f>
        <v>0.41975518017921426</v>
      </c>
      <c r="E26" s="123">
        <f>Calculations!E18</f>
        <v>0.77778165739089711</v>
      </c>
      <c r="F26" s="123">
        <f>Calculations!E19</f>
        <v>1.9012440513999707</v>
      </c>
      <c r="G26" s="123">
        <f>Calculations!E20</f>
        <v>4.135823098824611</v>
      </c>
      <c r="H26" s="123">
        <f>Calculations!E21</f>
        <v>30.765585559017701</v>
      </c>
      <c r="I26" s="123">
        <f>Calculations!E22</f>
        <v>1.0370422098545293</v>
      </c>
      <c r="J26" s="135"/>
      <c r="L26" s="106"/>
      <c r="M26" s="107">
        <f t="shared" si="1"/>
        <v>2040</v>
      </c>
      <c r="N26" s="112">
        <f t="shared" si="6"/>
        <v>40099.826782212658</v>
      </c>
      <c r="O26" s="113">
        <f t="shared" si="7"/>
        <v>1.6919309637311919E-2</v>
      </c>
      <c r="P26" s="114">
        <f t="shared" si="8"/>
        <v>0.80794601830733304</v>
      </c>
      <c r="Q26" s="115">
        <f t="shared" si="4"/>
        <v>1</v>
      </c>
      <c r="R26" s="30">
        <f>IF(M26=Year_Open_to_Traffic?,Calculations!$J$5,Calculations!R25+(Calculations!R25*Calculations!O26*Q26))</f>
        <v>1029903.2013148749</v>
      </c>
      <c r="S26" s="45">
        <f t="shared" si="0"/>
        <v>1</v>
      </c>
      <c r="T26" s="30">
        <f t="shared" si="5"/>
        <v>1029.9032013148749</v>
      </c>
      <c r="U26" s="31">
        <f>T26/(1+Real_Discount_Rate)^(Calculations!M26-'Assumed Values'!$C$5)</f>
        <v>232.46271139715347</v>
      </c>
    </row>
    <row r="27" spans="1:21" ht="15.75">
      <c r="A27" s="38" t="s">
        <v>127</v>
      </c>
      <c r="B27" s="39" t="s">
        <v>128</v>
      </c>
      <c r="D27" s="124">
        <f>D$26*'Value of Statistical Life'!D17*Appropriate_Crash_Reduction_Factor</f>
        <v>0</v>
      </c>
      <c r="E27" s="124">
        <f>E$26*'Value of Statistical Life'!E17*Appropriate_Crash_Reduction_Factor</f>
        <v>4.0098533346787698E-3</v>
      </c>
      <c r="F27" s="124">
        <f>F$26*'Value of Statistical Life'!F17*Appropriate_Crash_Reduction_Factor</f>
        <v>2.3804526145553333E-2</v>
      </c>
      <c r="G27" s="124">
        <f>G$26*'Value of Statistical Life'!G17*Appropriate_Crash_Reduction_Factor</f>
        <v>0.14539692895072859</v>
      </c>
      <c r="H27" s="124">
        <f>H$26*'Value of Statistical Life'!H17*Appropriate_Crash_Reduction_Factor</f>
        <v>4.2702940411772161</v>
      </c>
      <c r="I27" s="124">
        <f>I$26*'Value of Statistical Life'!I17*Appropriate_Crash_Reduction_Factor</f>
        <v>6.7940783336409627E-2</v>
      </c>
      <c r="J27" s="124">
        <f t="shared" ref="J27:J33" si="9">SUM(D27:I27)</f>
        <v>4.5114461329445863</v>
      </c>
      <c r="K27" s="69"/>
      <c r="L27" s="106"/>
      <c r="M27" s="11">
        <f t="shared" si="1"/>
        <v>2041</v>
      </c>
      <c r="N27" s="112">
        <f t="shared" si="6"/>
        <v>40778.288167943487</v>
      </c>
      <c r="O27" s="113">
        <f t="shared" si="7"/>
        <v>1.6919309637311919E-2</v>
      </c>
      <c r="P27" s="114">
        <f t="shared" si="8"/>
        <v>0.82161590716130806</v>
      </c>
      <c r="Q27" s="115">
        <f t="shared" si="4"/>
        <v>1</v>
      </c>
      <c r="R27" s="30">
        <f>IF(M27=Year_Open_to_Traffic?,Calculations!$J$5,Calculations!R26+(Calculations!R26*Calculations!O27*Q27))</f>
        <v>1047328.4524743801</v>
      </c>
      <c r="S27" s="45">
        <f t="shared" si="0"/>
        <v>1</v>
      </c>
      <c r="T27" s="30">
        <f t="shared" si="5"/>
        <v>1047.3284524743801</v>
      </c>
      <c r="U27" s="31">
        <f>T27/(1+Real_Discount_Rate)^(Calculations!M27-'Assumed Values'!$C$5)</f>
        <v>220.9306728882346</v>
      </c>
    </row>
    <row r="28" spans="1:21" ht="15.75">
      <c r="A28" s="38" t="s">
        <v>129</v>
      </c>
      <c r="B28" s="39" t="s">
        <v>130</v>
      </c>
      <c r="D28" s="124">
        <f>D$26*'Value of Statistical Life'!D18*Appropriate_Crash_Reduction_Factor</f>
        <v>0</v>
      </c>
      <c r="E28" s="124">
        <f>E$26*'Value of Statistical Life'!E18*Appropriate_Crash_Reduction_Factor</f>
        <v>6.4690822681001778E-2</v>
      </c>
      <c r="F28" s="124">
        <f>F$26*'Value of Statistical Life'!F18*Appropriate_Crash_Reduction_Factor</f>
        <v>0.21914594496259188</v>
      </c>
      <c r="G28" s="124">
        <f>G$26*'Value of Statistical Life'!G18*Appropriate_Crash_Reduction_Factor</f>
        <v>0.4277226890573424</v>
      </c>
      <c r="H28" s="124">
        <f>H$26*'Value of Statistical Life'!H18*Appropriate_Crash_Reduction_Factor</f>
        <v>0.33489878160268716</v>
      </c>
      <c r="I28" s="124">
        <f>I$26*'Value of Statistical Life'!I18*Appropriate_Crash_Reduction_Factor</f>
        <v>6.4927657195677294E-2</v>
      </c>
      <c r="J28" s="124">
        <f t="shared" si="9"/>
        <v>1.1113858954993006</v>
      </c>
      <c r="K28" s="69"/>
      <c r="L28" s="106"/>
      <c r="M28" s="107">
        <f t="shared" si="1"/>
        <v>2042</v>
      </c>
      <c r="N28" s="112">
        <f t="shared" si="6"/>
        <v>41468.228651936457</v>
      </c>
      <c r="O28" s="113">
        <f t="shared" si="7"/>
        <v>1.6919309637311919E-2</v>
      </c>
      <c r="P28" s="114">
        <f t="shared" si="8"/>
        <v>0.83551708109751111</v>
      </c>
      <c r="Q28" s="115">
        <f t="shared" si="4"/>
        <v>1</v>
      </c>
      <c r="R28" s="30">
        <f>IF(M28=Year_Open_to_Traffic?,Calculations!$J$5,Calculations!R27+(Calculations!R27*Calculations!O28*Q28))</f>
        <v>1065048.5268537609</v>
      </c>
      <c r="S28" s="45">
        <f t="shared" si="0"/>
        <v>1</v>
      </c>
      <c r="T28" s="30">
        <f t="shared" si="5"/>
        <v>1065.0485268537609</v>
      </c>
      <c r="U28" s="31">
        <f>T28/(1+Real_Discount_Rate)^(Calculations!M28-'Assumed Values'!$C$5)</f>
        <v>209.97071715066383</v>
      </c>
    </row>
    <row r="29" spans="1:21" ht="15.75">
      <c r="A29" s="38" t="s">
        <v>131</v>
      </c>
      <c r="B29" s="39" t="s">
        <v>132</v>
      </c>
      <c r="D29" s="124">
        <f>D$26*'Value of Statistical Life'!D19*Appropriate_Crash_Reduction_Factor</f>
        <v>0</v>
      </c>
      <c r="E29" s="124">
        <f>E$26*'Value of Statistical Life'!E19*Appropriate_Crash_Reduction_Factor</f>
        <v>2.4392788339093311E-2</v>
      </c>
      <c r="F29" s="124">
        <f>F$26*'Value of Statistical Life'!F19*Appropriate_Crash_Reduction_Factor</f>
        <v>3.1079636508235319E-2</v>
      </c>
      <c r="G29" s="124">
        <f>G$26*'Value of Statistical Life'!G19*Appropriate_Crash_Reduction_Factor</f>
        <v>3.9648068136882125E-2</v>
      </c>
      <c r="H29" s="124">
        <f>H$26*'Value of Statistical Life'!H19*Appropriate_Crash_Reduction_Factor</f>
        <v>9.1373789110282561E-3</v>
      </c>
      <c r="I29" s="124">
        <f>I$26*'Value of Statistical Life'!I19*Appropriate_Crash_Reduction_Factor</f>
        <v>1.3800957728744075E-2</v>
      </c>
      <c r="J29" s="124">
        <f t="shared" si="9"/>
        <v>0.11805882962398309</v>
      </c>
      <c r="K29" s="69"/>
      <c r="L29" s="106"/>
      <c r="M29" s="11">
        <f t="shared" si="1"/>
        <v>2043</v>
      </c>
      <c r="N29" s="112">
        <f t="shared" si="6"/>
        <v>42169.842452609417</v>
      </c>
      <c r="O29" s="113">
        <f t="shared" si="7"/>
        <v>1.6919309637311919E-2</v>
      </c>
      <c r="P29" s="114">
        <f t="shared" si="8"/>
        <v>0.84965345329986297</v>
      </c>
      <c r="Q29" s="115">
        <f t="shared" si="4"/>
        <v>1</v>
      </c>
      <c r="R29" s="30">
        <f>IF(M29=Year_Open_to_Traffic?,Calculations!$J$5,Calculations!R28+(Calculations!R28*Calculations!O29*Q29))</f>
        <v>1083068.4126583626</v>
      </c>
      <c r="S29" s="45">
        <f t="shared" si="0"/>
        <v>1</v>
      </c>
      <c r="T29" s="30">
        <f t="shared" si="5"/>
        <v>1083.0684126583626</v>
      </c>
      <c r="U29" s="31">
        <f>T29/(1+Real_Discount_Rate)^(Calculations!M29-'Assumed Values'!$C$5)</f>
        <v>199.55446423262089</v>
      </c>
    </row>
    <row r="30" spans="1:21" ht="15.75">
      <c r="A30" s="38" t="s">
        <v>133</v>
      </c>
      <c r="B30" s="39" t="s">
        <v>134</v>
      </c>
      <c r="D30" s="124">
        <f>D$26*'Value of Statistical Life'!D20*Appropriate_Crash_Reduction_Factor</f>
        <v>0</v>
      </c>
      <c r="E30" s="124">
        <f>E$26*'Value of Statistical Life'!E20*Appropriate_Crash_Reduction_Factor</f>
        <v>1.6843250681628574E-2</v>
      </c>
      <c r="F30" s="124">
        <f>F$26*'Value of Statistical Life'!F20*Appropriate_Crash_Reduction_Factor</f>
        <v>9.1003046520259593E-3</v>
      </c>
      <c r="G30" s="124">
        <f>G$26*'Value of Statistical Life'!G20*Appropriate_Crash_Reduction_Factor</f>
        <v>6.6441998082617379E-3</v>
      </c>
      <c r="H30" s="124">
        <f>H$26*'Value of Statistical Life'!H20*Appropriate_Crash_Reduction_Factor</f>
        <v>3.6918702670821245E-4</v>
      </c>
      <c r="I30" s="124">
        <f>I$26*'Value of Statistical Life'!I20*Appropriate_Crash_Reduction_Factor</f>
        <v>7.4931484873039002E-3</v>
      </c>
      <c r="J30" s="124">
        <f t="shared" si="9"/>
        <v>4.0450090655928389E-2</v>
      </c>
      <c r="K30" s="69"/>
      <c r="L30" s="106"/>
      <c r="M30" s="11">
        <f t="shared" si="1"/>
        <v>2044</v>
      </c>
      <c r="N30" s="112">
        <f t="shared" si="6"/>
        <v>42883.327074421773</v>
      </c>
      <c r="O30" s="113">
        <f t="shared" si="7"/>
        <v>1.6919309637311919E-2</v>
      </c>
      <c r="P30" s="114">
        <f t="shared" si="8"/>
        <v>0.86402900316065467</v>
      </c>
      <c r="Q30" s="115">
        <f t="shared" si="4"/>
        <v>1</v>
      </c>
      <c r="R30" s="30">
        <f>IF(M30=Year_Open_to_Traffic?,Calculations!$J$5,Calculations!R29+(Calculations!R29*Calculations!O30*Q30))</f>
        <v>1101393.1824905213</v>
      </c>
      <c r="S30" s="45">
        <f t="shared" si="0"/>
        <v>0</v>
      </c>
      <c r="T30" s="30">
        <f t="shared" si="5"/>
        <v>0</v>
      </c>
      <c r="U30" s="31">
        <f>T30/(1+Real_Discount_Rate)^(Calculations!M30-'Assumed Values'!$C$5)</f>
        <v>0</v>
      </c>
    </row>
    <row r="31" spans="1:21" ht="15.75">
      <c r="A31" s="38" t="s">
        <v>135</v>
      </c>
      <c r="B31" s="39" t="s">
        <v>136</v>
      </c>
      <c r="D31" s="124">
        <f>D$26*'Value of Statistical Life'!D21*Appropriate_Crash_Reduction_Factor</f>
        <v>0</v>
      </c>
      <c r="E31" s="124">
        <f>E$26*'Value of Statistical Life'!E21*Appropriate_Crash_Reduction_Factor</f>
        <v>4.6503565295401735E-3</v>
      </c>
      <c r="F31" s="124">
        <f>F$26*'Value of Statistical Life'!F21*Appropriate_Crash_Reduction_Factor</f>
        <v>1.7681569678019726E-3</v>
      </c>
      <c r="G31" s="124">
        <f>G$26*'Value of Statistical Life'!G21*Appropriate_Crash_Reduction_Factor</f>
        <v>8.8093032004964221E-4</v>
      </c>
      <c r="H31" s="124">
        <f>H$26*'Value of Statistical Life'!H21*Appropriate_Crash_Reduction_Factor</f>
        <v>0</v>
      </c>
      <c r="I31" s="124">
        <f>I$26*'Value of Statistical Life'!I21*Appropriate_Crash_Reduction_Factor</f>
        <v>9.5978256522036688E-4</v>
      </c>
      <c r="J31" s="124">
        <f t="shared" si="9"/>
        <v>8.2592263826121552E-3</v>
      </c>
      <c r="K31" s="69"/>
      <c r="L31" s="106"/>
      <c r="M31" s="11">
        <f t="shared" si="1"/>
        <v>2045</v>
      </c>
      <c r="N31" s="112">
        <f t="shared" si="6"/>
        <v>43608.883363472036</v>
      </c>
      <c r="O31" s="113">
        <f t="shared" si="7"/>
        <v>1.6919309637311919E-2</v>
      </c>
      <c r="P31" s="114">
        <f t="shared" si="8"/>
        <v>0.87864777740074773</v>
      </c>
      <c r="Q31" s="115">
        <f t="shared" si="4"/>
        <v>1</v>
      </c>
      <c r="R31" s="30">
        <f>IF(M31=Year_Open_to_Traffic?,Calculations!$J$5,Calculations!R30+(Calculations!R30*Calculations!O31*Q31))</f>
        <v>1120027.994777503</v>
      </c>
      <c r="S31" s="45">
        <f t="shared" si="0"/>
        <v>0</v>
      </c>
      <c r="T31" s="30">
        <f t="shared" si="5"/>
        <v>0</v>
      </c>
      <c r="U31" s="31">
        <f>T31/(1+Real_Discount_Rate)^(Calculations!M31-'Assumed Values'!$C$5)</f>
        <v>0</v>
      </c>
    </row>
    <row r="32" spans="1:21" ht="15.75">
      <c r="A32" s="38" t="s">
        <v>137</v>
      </c>
      <c r="B32" s="39" t="s">
        <v>138</v>
      </c>
      <c r="D32" s="124">
        <f>D$26*'Value of Statistical Life'!D22*Appropriate_Crash_Reduction_Factor</f>
        <v>0</v>
      </c>
      <c r="E32" s="124">
        <f>E$26*'Value of Statistical Life'!E22*Appropriate_Crash_Reduction_Factor</f>
        <v>2.080177042691954E-3</v>
      </c>
      <c r="F32" s="124">
        <f>F$26*'Value of Statistical Life'!F22*Appropriate_Crash_Reduction_Factor</f>
        <v>2.8803847378709556E-4</v>
      </c>
      <c r="G32" s="124">
        <f>G$26*'Value of Statistical Life'!G22*Appropriate_Crash_Reduction_Factor</f>
        <v>8.0648550427079896E-5</v>
      </c>
      <c r="H32" s="124">
        <f>H$26*'Value of Statistical Life'!H22*Appropriate_Crash_Reduction_Factor</f>
        <v>1.3844513501557964E-4</v>
      </c>
      <c r="I32" s="124">
        <f>I$26*'Value of Statistical Life'!I22*Appropriate_Crash_Reduction_Factor</f>
        <v>4.3400216482412051E-4</v>
      </c>
      <c r="J32" s="124">
        <f t="shared" si="9"/>
        <v>3.0213113667458295E-3</v>
      </c>
      <c r="K32" s="69"/>
      <c r="L32" s="106"/>
      <c r="M32" s="11">
        <f t="shared" si="1"/>
        <v>2046</v>
      </c>
      <c r="N32" s="112">
        <f t="shared" si="6"/>
        <v>44346.715564036043</v>
      </c>
      <c r="O32" s="113">
        <f t="shared" si="7"/>
        <v>1.6919309637311919E-2</v>
      </c>
      <c r="P32" s="114">
        <f t="shared" si="8"/>
        <v>0.89351389120872693</v>
      </c>
      <c r="Q32" s="115">
        <f t="shared" si="4"/>
        <v>1</v>
      </c>
      <c r="R32" s="30">
        <f>IF(M32=Year_Open_to_Traffic?,Calculations!$J$5,Calculations!R31+(Calculations!R31*Calculations!O32*Q32))</f>
        <v>1138978.0952236012</v>
      </c>
      <c r="S32" s="45">
        <f t="shared" si="0"/>
        <v>0</v>
      </c>
      <c r="T32" s="30">
        <f t="shared" si="5"/>
        <v>0</v>
      </c>
      <c r="U32" s="31">
        <f>T32/(1+Real_Discount_Rate)^(Calculations!M32-'Assumed Values'!$C$5)</f>
        <v>0</v>
      </c>
    </row>
    <row r="33" spans="1:21" ht="15.75">
      <c r="A33" s="38" t="s">
        <v>139</v>
      </c>
      <c r="B33" s="39" t="s">
        <v>140</v>
      </c>
      <c r="D33" s="124">
        <f>D$26*'Value of Statistical Life'!D23*Appropriate_Crash_Reduction_Factor</f>
        <v>6.2963277026882133E-2</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6.2963277026882133E-2</v>
      </c>
      <c r="K33" s="69"/>
      <c r="L33" s="106"/>
      <c r="M33" s="11">
        <f t="shared" si="1"/>
        <v>2047</v>
      </c>
      <c r="N33" s="112">
        <f t="shared" si="6"/>
        <v>45097.031376061772</v>
      </c>
      <c r="O33" s="113">
        <f t="shared" si="7"/>
        <v>1.6919309637311919E-2</v>
      </c>
      <c r="P33" s="114">
        <f t="shared" si="8"/>
        <v>0.90863152939932679</v>
      </c>
      <c r="Q33" s="115">
        <f t="shared" si="4"/>
        <v>1</v>
      </c>
      <c r="R33" s="30">
        <f>IF(M33=Year_Open_to_Traffic?,Calculations!$J$5,Calculations!R32+(Calculations!R32*Calculations!O33*Q33))</f>
        <v>1158248.8182868049</v>
      </c>
      <c r="S33" s="45">
        <f t="shared" si="0"/>
        <v>0</v>
      </c>
      <c r="T33" s="30">
        <f t="shared" si="5"/>
        <v>0</v>
      </c>
      <c r="U33" s="31">
        <f>T33/(1+Real_Discount_Rate)^(Calculations!M33-'Assumed Values'!$C$5)</f>
        <v>0</v>
      </c>
    </row>
    <row r="34" spans="1:21" ht="15.75">
      <c r="J34" s="125"/>
      <c r="L34" s="106"/>
      <c r="M34" s="11">
        <f t="shared" si="1"/>
        <v>2048</v>
      </c>
      <c r="N34" s="112">
        <f t="shared" si="6"/>
        <v>45860.042013636928</v>
      </c>
      <c r="O34" s="113">
        <f t="shared" si="7"/>
        <v>1.6919309637311919E-2</v>
      </c>
      <c r="P34" s="114">
        <f t="shared" si="8"/>
        <v>0.92400494759145824</v>
      </c>
      <c r="Q34" s="115">
        <f t="shared" si="4"/>
        <v>1</v>
      </c>
      <c r="R34" s="30">
        <f>IF(M34=Year_Open_to_Traffic?,Calculations!$J$5,Calculations!R33+(Calculations!R33*Calculations!O34*Q34))</f>
        <v>1177845.5886804501</v>
      </c>
      <c r="S34" s="45">
        <f t="shared" si="0"/>
        <v>0</v>
      </c>
      <c r="T34" s="30">
        <f t="shared" si="5"/>
        <v>0</v>
      </c>
      <c r="U34" s="31">
        <f>T34/(1+Real_Discount_Rate)^(Calculations!M34-'Assumed Values'!$C$5)</f>
        <v>0</v>
      </c>
    </row>
    <row r="35" spans="1:21" ht="15.75">
      <c r="G35" s="41"/>
      <c r="H35" s="41"/>
      <c r="L35" s="106"/>
      <c r="M35" s="11">
        <f t="shared" si="1"/>
        <v>2049</v>
      </c>
      <c r="N35" s="112">
        <f t="shared" si="6"/>
        <v>46635.962264445785</v>
      </c>
      <c r="O35" s="113">
        <f t="shared" si="7"/>
        <v>1.6919309637311919E-2</v>
      </c>
      <c r="P35" s="114">
        <f t="shared" si="8"/>
        <v>0.93963847340616624</v>
      </c>
      <c r="Q35" s="115">
        <f t="shared" si="4"/>
        <v>1</v>
      </c>
      <c r="R35" s="30">
        <f>IF(M35=Year_Open_to_Traffic?,Calculations!$J$5,Calculations!R34+(Calculations!R34*Calculations!O35*Q35))</f>
        <v>1197773.9229002765</v>
      </c>
      <c r="S35" s="45">
        <f t="shared" si="0"/>
        <v>0</v>
      </c>
      <c r="T35" s="30">
        <f t="shared" si="5"/>
        <v>0</v>
      </c>
      <c r="U35" s="31">
        <f>T35/(1+Real_Discount_Rate)^(Calculations!M35-'Assumed Values'!$C$5)</f>
        <v>0</v>
      </c>
    </row>
    <row r="36" spans="1:21" ht="15.75">
      <c r="G36" s="41"/>
      <c r="H36" s="41"/>
      <c r="L36" s="106"/>
      <c r="M36" s="11">
        <f t="shared" si="1"/>
        <v>2050</v>
      </c>
      <c r="N36" s="112">
        <f t="shared" si="6"/>
        <v>47425.010550231935</v>
      </c>
      <c r="O36" s="113">
        <f t="shared" si="7"/>
        <v>1.6919309637311919E-2</v>
      </c>
      <c r="P36" s="114">
        <f t="shared" si="8"/>
        <v>0.95553650768485621</v>
      </c>
      <c r="Q36" s="115">
        <f t="shared" si="4"/>
        <v>1</v>
      </c>
      <c r="R36" s="30">
        <f>IF(M36=Year_Open_to_Traffic?,Calculations!$J$5,Calculations!R35+(Calculations!R35*Calculations!O36*Q36))</f>
        <v>1218039.4307773241</v>
      </c>
      <c r="S36" s="45">
        <f t="shared" si="0"/>
        <v>0</v>
      </c>
      <c r="T36" s="30">
        <f t="shared" si="5"/>
        <v>0</v>
      </c>
      <c r="U36" s="31">
        <f>T36/(1+Real_Discount_Rate)^(Calculations!M36-'Assumed Values'!$C$5)</f>
        <v>0</v>
      </c>
    </row>
    <row r="37" spans="1:21">
      <c r="M37" s="39"/>
      <c r="N37" s="39"/>
      <c r="O37" s="118"/>
      <c r="P37" s="120"/>
      <c r="Q37" s="39"/>
      <c r="R37" s="39"/>
      <c r="S37" s="39"/>
      <c r="T37" s="39"/>
      <c r="U37" s="31">
        <f>SUM(U4:U36)</f>
        <v>6754.3897849187224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5"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53</v>
      </c>
      <c r="G4" s="39" t="s">
        <v>166</v>
      </c>
      <c r="H4" s="127" t="s">
        <v>167</v>
      </c>
      <c r="Q4" s="86"/>
      <c r="R4" s="85"/>
      <c r="S4" s="85"/>
      <c r="T4" s="85"/>
      <c r="U4" s="85"/>
      <c r="V4" s="85"/>
      <c r="W4" s="85"/>
      <c r="X4" s="85"/>
    </row>
    <row r="5" spans="3:24">
      <c r="C5" t="s">
        <v>168</v>
      </c>
      <c r="G5" s="39" t="s">
        <v>169</v>
      </c>
      <c r="H5" s="127" t="s">
        <v>170</v>
      </c>
      <c r="Q5" s="86"/>
      <c r="R5" s="85"/>
      <c r="S5" s="85"/>
      <c r="T5" s="85"/>
      <c r="U5" s="85"/>
      <c r="V5" s="85"/>
      <c r="W5" s="85"/>
      <c r="X5" s="85"/>
    </row>
    <row r="6" spans="3:24">
      <c r="C6" t="s">
        <v>171</v>
      </c>
      <c r="G6" s="39" t="s">
        <v>172</v>
      </c>
      <c r="H6" s="127" t="s">
        <v>173</v>
      </c>
      <c r="Q6" s="86"/>
      <c r="R6" s="85"/>
      <c r="S6" s="85"/>
      <c r="T6" s="85"/>
      <c r="U6" s="85"/>
      <c r="V6" s="85"/>
      <c r="W6" s="85"/>
      <c r="X6" s="85"/>
    </row>
    <row r="7" spans="3:24">
      <c r="C7" t="s">
        <v>174</v>
      </c>
      <c r="G7" s="39" t="s">
        <v>175</v>
      </c>
      <c r="H7" s="127" t="s">
        <v>176</v>
      </c>
      <c r="Q7" s="86"/>
      <c r="R7" s="85"/>
      <c r="S7" s="85"/>
      <c r="T7" s="85"/>
      <c r="U7" s="85"/>
      <c r="V7" s="85"/>
      <c r="W7" s="85"/>
      <c r="X7" s="85"/>
    </row>
    <row r="8" spans="3:24">
      <c r="C8" t="s">
        <v>50</v>
      </c>
      <c r="Q8" s="86"/>
      <c r="R8" s="85"/>
      <c r="S8" s="85"/>
      <c r="T8" s="85"/>
      <c r="U8" s="85"/>
      <c r="V8" s="85"/>
      <c r="W8" s="85"/>
      <c r="X8" s="85"/>
    </row>
    <row r="9" spans="3:24">
      <c r="C9" t="s">
        <v>177</v>
      </c>
      <c r="Q9" s="86"/>
      <c r="R9" s="85"/>
      <c r="S9" s="85"/>
      <c r="T9" s="85"/>
      <c r="U9" s="85"/>
      <c r="V9" s="85"/>
      <c r="W9" s="85"/>
      <c r="X9" s="85"/>
    </row>
    <row r="10" spans="3:24">
      <c r="C10" t="s">
        <v>178</v>
      </c>
      <c r="N10" s="85"/>
      <c r="O10" s="85"/>
      <c r="P10" s="85"/>
      <c r="Q10" s="85"/>
      <c r="R10" s="85"/>
      <c r="S10" s="85"/>
      <c r="T10" s="85"/>
    </row>
    <row r="12" spans="3:24">
      <c r="C12" t="s">
        <v>179</v>
      </c>
      <c r="Q12" t="s">
        <v>180</v>
      </c>
      <c r="S12" s="140"/>
      <c r="T12" s="140"/>
      <c r="U12" s="140"/>
      <c r="V12" s="140"/>
      <c r="W12" s="140"/>
      <c r="X12" s="140"/>
    </row>
    <row r="13" spans="3:24">
      <c r="C13" s="54" t="s">
        <v>49</v>
      </c>
      <c r="D13" s="54" t="s">
        <v>181</v>
      </c>
      <c r="E13" s="54" t="s">
        <v>159</v>
      </c>
      <c r="F13" s="54" t="s">
        <v>163</v>
      </c>
      <c r="G13" s="54" t="s">
        <v>166</v>
      </c>
      <c r="H13" s="54" t="s">
        <v>169</v>
      </c>
      <c r="I13" s="54" t="s">
        <v>172</v>
      </c>
      <c r="J13" s="54" t="s">
        <v>175</v>
      </c>
      <c r="M13" s="39" t="s">
        <v>182</v>
      </c>
      <c r="N13" s="39" t="s">
        <v>183</v>
      </c>
      <c r="O13" s="39" t="s">
        <v>184</v>
      </c>
      <c r="Q13" s="62" t="s">
        <v>49</v>
      </c>
      <c r="R13" s="62" t="s">
        <v>185</v>
      </c>
      <c r="S13" s="62" t="s">
        <v>159</v>
      </c>
      <c r="T13" s="62" t="s">
        <v>163</v>
      </c>
      <c r="U13" s="62" t="s">
        <v>166</v>
      </c>
      <c r="V13" s="62" t="s">
        <v>169</v>
      </c>
      <c r="W13" s="62" t="s">
        <v>172</v>
      </c>
      <c r="X13" s="62" t="s">
        <v>175</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168</v>
      </c>
      <c r="D16" s="60"/>
      <c r="E16" s="60">
        <v>1.1315255007738096</v>
      </c>
      <c r="F16" s="60">
        <v>3.9089062754004331</v>
      </c>
      <c r="G16" s="60">
        <v>19.95599519546537</v>
      </c>
      <c r="H16" s="60">
        <v>32.197043794745674</v>
      </c>
      <c r="I16" s="60">
        <v>398.29697627238102</v>
      </c>
      <c r="J16" s="60">
        <v>12.549646463127708</v>
      </c>
      <c r="M16" s="39" t="s">
        <v>168</v>
      </c>
      <c r="N16" s="84">
        <v>3738995.92</v>
      </c>
      <c r="O16" s="84">
        <f t="shared" si="0"/>
        <v>972138939.19999993</v>
      </c>
      <c r="Q16" s="63" t="s">
        <v>168</v>
      </c>
      <c r="R16" s="64"/>
      <c r="S16" s="39">
        <v>11</v>
      </c>
      <c r="T16" s="39">
        <v>38</v>
      </c>
      <c r="U16" s="39">
        <v>194</v>
      </c>
      <c r="V16" s="39">
        <v>313</v>
      </c>
      <c r="W16" s="39">
        <v>3872</v>
      </c>
      <c r="X16" s="39">
        <v>122</v>
      </c>
    </row>
    <row r="17" spans="3:24">
      <c r="C17" s="55" t="s">
        <v>171</v>
      </c>
      <c r="D17" s="60"/>
      <c r="E17" s="60">
        <v>1.0773925370741351</v>
      </c>
      <c r="F17" s="60">
        <v>7.9008786052103224</v>
      </c>
      <c r="G17" s="60">
        <v>33.937864917835249</v>
      </c>
      <c r="H17" s="60">
        <v>58.897458693386042</v>
      </c>
      <c r="I17" s="60">
        <v>622.55332100600435</v>
      </c>
      <c r="J17" s="60">
        <v>21.009154472945632</v>
      </c>
      <c r="M17" s="39" t="s">
        <v>186</v>
      </c>
      <c r="N17" s="84">
        <v>2141923.42</v>
      </c>
      <c r="O17" s="84">
        <f t="shared" si="0"/>
        <v>556900089.19999993</v>
      </c>
      <c r="Q17" s="63" t="s">
        <v>171</v>
      </c>
      <c r="R17" s="64"/>
      <c r="S17" s="39">
        <v>6</v>
      </c>
      <c r="T17" s="39">
        <v>44</v>
      </c>
      <c r="U17" s="39">
        <v>189</v>
      </c>
      <c r="V17" s="39">
        <v>328</v>
      </c>
      <c r="W17" s="39">
        <v>3467</v>
      </c>
      <c r="X17" s="39">
        <v>117</v>
      </c>
    </row>
    <row r="18" spans="3:24">
      <c r="C18" s="55" t="s">
        <v>174</v>
      </c>
      <c r="D18" s="60"/>
      <c r="E18" s="60">
        <v>0.90708688014883054</v>
      </c>
      <c r="F18" s="60">
        <v>3.6345604444319584</v>
      </c>
      <c r="G18" s="60">
        <v>19.334618979610692</v>
      </c>
      <c r="H18" s="60">
        <v>53.611319786330533</v>
      </c>
      <c r="I18" s="60">
        <v>404.81547842368047</v>
      </c>
      <c r="J18" s="60">
        <v>37.824280317438905</v>
      </c>
      <c r="M18" s="39" t="s">
        <v>174</v>
      </c>
      <c r="N18" s="84">
        <v>61905697.659999996</v>
      </c>
      <c r="O18" s="84">
        <f t="shared" si="0"/>
        <v>16095481391.599998</v>
      </c>
      <c r="Q18" s="63" t="s">
        <v>174</v>
      </c>
      <c r="R18" s="64"/>
      <c r="S18" s="39">
        <v>146</v>
      </c>
      <c r="T18" s="39">
        <v>585</v>
      </c>
      <c r="U18" s="39">
        <v>3112</v>
      </c>
      <c r="V18" s="39">
        <v>8629</v>
      </c>
      <c r="W18" s="39">
        <v>65157</v>
      </c>
      <c r="X18" s="39">
        <v>6088</v>
      </c>
    </row>
    <row r="19" spans="3:24">
      <c r="C19" s="55" t="s">
        <v>50</v>
      </c>
      <c r="D19" s="60"/>
      <c r="E19" s="60">
        <v>3.3935222811020584</v>
      </c>
      <c r="F19" s="60">
        <v>4.2419028513775725</v>
      </c>
      <c r="G19" s="60">
        <v>9.3321862730306595</v>
      </c>
      <c r="H19" s="60">
        <v>22.057894827163377</v>
      </c>
      <c r="I19" s="60">
        <v>135.74089124408232</v>
      </c>
      <c r="J19" s="60">
        <v>3.3935222811020584</v>
      </c>
      <c r="M19" s="39" t="s">
        <v>50</v>
      </c>
      <c r="N19" s="84">
        <v>453352.42</v>
      </c>
      <c r="O19" s="84">
        <f t="shared" si="0"/>
        <v>117871629.2</v>
      </c>
      <c r="Q19" s="63" t="s">
        <v>50</v>
      </c>
      <c r="R19" s="64"/>
      <c r="S19" s="39">
        <v>4</v>
      </c>
      <c r="T19" s="39">
        <v>5</v>
      </c>
      <c r="U19" s="39">
        <v>11</v>
      </c>
      <c r="V19" s="39">
        <v>26</v>
      </c>
      <c r="W19" s="39">
        <v>160</v>
      </c>
      <c r="X19" s="39">
        <v>4</v>
      </c>
    </row>
    <row r="20" spans="3:24">
      <c r="C20" s="55" t="s">
        <v>177</v>
      </c>
      <c r="D20" s="60"/>
      <c r="E20" s="60">
        <v>0.40874620684819268</v>
      </c>
      <c r="F20" s="60">
        <v>2.3356926105611011</v>
      </c>
      <c r="G20" s="60">
        <v>15.532355860231322</v>
      </c>
      <c r="H20" s="60">
        <v>25.692618716172113</v>
      </c>
      <c r="I20" s="60">
        <v>267.43680390924607</v>
      </c>
      <c r="J20" s="60">
        <v>10.452224432260929</v>
      </c>
      <c r="M20" s="39" t="s">
        <v>177</v>
      </c>
      <c r="N20" s="84">
        <v>6586746.6100000003</v>
      </c>
      <c r="O20" s="84">
        <f t="shared" si="0"/>
        <v>1712554118.6000001</v>
      </c>
      <c r="Q20" s="63" t="s">
        <v>177</v>
      </c>
      <c r="R20" s="64"/>
      <c r="S20" s="39">
        <v>7</v>
      </c>
      <c r="T20" s="39">
        <v>40</v>
      </c>
      <c r="U20" s="39">
        <v>266</v>
      </c>
      <c r="V20" s="39">
        <v>440</v>
      </c>
      <c r="W20" s="39">
        <v>4580</v>
      </c>
      <c r="X20" s="39">
        <v>179</v>
      </c>
    </row>
    <row r="21" spans="3:24">
      <c r="C21" s="55" t="s">
        <v>178</v>
      </c>
      <c r="D21" s="60"/>
      <c r="E21" s="60">
        <v>1.4164379058069814</v>
      </c>
      <c r="F21" s="60">
        <v>1.4164379058069814</v>
      </c>
      <c r="G21" s="60">
        <v>3.1869852880657077</v>
      </c>
      <c r="H21" s="60">
        <v>3.1869852880657077</v>
      </c>
      <c r="I21" s="60">
        <v>16.643145393232032</v>
      </c>
      <c r="J21" s="60">
        <v>0</v>
      </c>
      <c r="M21" s="39" t="s">
        <v>178</v>
      </c>
      <c r="N21" s="84">
        <v>1086148.24</v>
      </c>
      <c r="O21" s="84">
        <f t="shared" si="0"/>
        <v>282398542.39999998</v>
      </c>
      <c r="Q21" s="63" t="s">
        <v>178</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187</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188</v>
      </c>
      <c r="Q26" t="s">
        <v>189</v>
      </c>
      <c r="S26" s="140"/>
      <c r="T26" s="140"/>
      <c r="U26" s="140"/>
      <c r="V26" s="140"/>
      <c r="W26" s="140"/>
      <c r="X26" s="140"/>
    </row>
    <row r="27" spans="3:24">
      <c r="C27" s="54" t="s">
        <v>49</v>
      </c>
      <c r="D27" s="54" t="s">
        <v>181</v>
      </c>
      <c r="E27" s="54" t="s">
        <v>159</v>
      </c>
      <c r="F27" s="54" t="s">
        <v>163</v>
      </c>
      <c r="G27" s="54" t="s">
        <v>166</v>
      </c>
      <c r="H27" s="54" t="s">
        <v>169</v>
      </c>
      <c r="I27" s="54" t="s">
        <v>172</v>
      </c>
      <c r="J27" s="54" t="s">
        <v>175</v>
      </c>
      <c r="M27" s="39" t="s">
        <v>190</v>
      </c>
      <c r="N27" s="39" t="s">
        <v>183</v>
      </c>
      <c r="O27" s="39" t="s">
        <v>184</v>
      </c>
      <c r="Q27" s="62" t="s">
        <v>49</v>
      </c>
      <c r="R27" s="62" t="s">
        <v>185</v>
      </c>
      <c r="S27" s="62" t="s">
        <v>159</v>
      </c>
      <c r="T27" s="62" t="s">
        <v>163</v>
      </c>
      <c r="U27" s="62" t="s">
        <v>166</v>
      </c>
      <c r="V27" s="62" t="s">
        <v>169</v>
      </c>
      <c r="W27" s="62" t="s">
        <v>172</v>
      </c>
      <c r="X27" s="62" t="s">
        <v>175</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168</v>
      </c>
      <c r="D30" s="60"/>
      <c r="E30" s="60">
        <v>0.99344502357157671</v>
      </c>
      <c r="F30" s="60">
        <v>5.5495894420205314</v>
      </c>
      <c r="G30" s="60">
        <v>33.605847176679887</v>
      </c>
      <c r="H30" s="60">
        <v>63.237914259073463</v>
      </c>
      <c r="I30" s="60">
        <v>637.62042150819855</v>
      </c>
      <c r="J30" s="60">
        <v>27.199839610890752</v>
      </c>
      <c r="M30" s="39" t="s">
        <v>168</v>
      </c>
      <c r="N30" s="84">
        <v>11227441.77</v>
      </c>
      <c r="O30" s="84">
        <f t="shared" si="2"/>
        <v>2919134860.1999998</v>
      </c>
      <c r="Q30" s="63" t="s">
        <v>168</v>
      </c>
      <c r="R30" s="64"/>
      <c r="S30" s="39">
        <v>29</v>
      </c>
      <c r="T30" s="39">
        <v>162</v>
      </c>
      <c r="U30" s="39">
        <v>981</v>
      </c>
      <c r="V30" s="84">
        <v>1846</v>
      </c>
      <c r="W30" s="84">
        <v>18613</v>
      </c>
      <c r="X30" s="39">
        <v>794</v>
      </c>
    </row>
    <row r="31" spans="3:24">
      <c r="C31" s="56" t="s">
        <v>171</v>
      </c>
      <c r="D31" s="60"/>
      <c r="E31" s="60">
        <v>2.8942083274968362</v>
      </c>
      <c r="F31" s="60">
        <v>14.04542276579347</v>
      </c>
      <c r="G31" s="60">
        <v>51.329635925899773</v>
      </c>
      <c r="H31" s="60">
        <v>102.91464317481397</v>
      </c>
      <c r="I31" s="60">
        <v>1117.0792906394406</v>
      </c>
      <c r="J31" s="60">
        <v>47.924684952374079</v>
      </c>
      <c r="M31" s="39" t="s">
        <v>186</v>
      </c>
      <c r="N31" s="84">
        <v>4518307.46</v>
      </c>
      <c r="O31" s="84">
        <f t="shared" si="2"/>
        <v>1174759939.5999999</v>
      </c>
      <c r="Q31" s="63" t="s">
        <v>171</v>
      </c>
      <c r="R31" s="64"/>
      <c r="S31" s="39">
        <v>34</v>
      </c>
      <c r="T31" s="39">
        <v>165</v>
      </c>
      <c r="U31" s="39">
        <v>603</v>
      </c>
      <c r="V31" s="84">
        <v>1209</v>
      </c>
      <c r="W31" s="84">
        <v>13123</v>
      </c>
      <c r="X31" s="39">
        <v>563</v>
      </c>
    </row>
    <row r="32" spans="3:24">
      <c r="C32" s="56" t="s">
        <v>174</v>
      </c>
      <c r="D32" s="60"/>
      <c r="E32" s="60">
        <v>1.7455741549787349</v>
      </c>
      <c r="F32" s="60">
        <v>8.8235958091989612</v>
      </c>
      <c r="G32" s="60">
        <v>49.782648723119337</v>
      </c>
      <c r="H32" s="60">
        <v>124.27924895011503</v>
      </c>
      <c r="I32" s="60">
        <v>963.65828946693784</v>
      </c>
      <c r="J32" s="60">
        <v>83.618632907852302</v>
      </c>
      <c r="M32" s="39" t="s">
        <v>174</v>
      </c>
      <c r="N32" s="84">
        <v>68304614.209999993</v>
      </c>
      <c r="O32" s="84">
        <f t="shared" si="2"/>
        <v>17759199694.599998</v>
      </c>
      <c r="Q32" s="63" t="s">
        <v>174</v>
      </c>
      <c r="R32" s="64"/>
      <c r="S32" s="39">
        <v>310</v>
      </c>
      <c r="T32" s="84">
        <v>1567</v>
      </c>
      <c r="U32" s="84">
        <v>8841</v>
      </c>
      <c r="V32" s="84">
        <v>22071</v>
      </c>
      <c r="W32" s="84">
        <v>171138</v>
      </c>
      <c r="X32" s="84">
        <v>14850</v>
      </c>
    </row>
    <row r="33" spans="3:24">
      <c r="C33" s="56" t="s">
        <v>50</v>
      </c>
      <c r="D33" s="60"/>
      <c r="E33" s="60">
        <v>5.3130646924395055</v>
      </c>
      <c r="F33" s="60">
        <v>9.8447963418732023</v>
      </c>
      <c r="G33" s="60">
        <v>24.065057724578939</v>
      </c>
      <c r="H33" s="60">
        <v>52.349313881389243</v>
      </c>
      <c r="I33" s="60">
        <v>389.41638863409548</v>
      </c>
      <c r="J33" s="60">
        <v>13.126395122497602</v>
      </c>
      <c r="M33" s="39" t="s">
        <v>50</v>
      </c>
      <c r="N33" s="84">
        <v>2461276.84</v>
      </c>
      <c r="O33" s="84">
        <f t="shared" si="2"/>
        <v>639931978.39999998</v>
      </c>
      <c r="Q33" s="63" t="s">
        <v>50</v>
      </c>
      <c r="R33" s="64"/>
      <c r="S33" s="39">
        <v>34</v>
      </c>
      <c r="T33" s="39">
        <v>63</v>
      </c>
      <c r="U33" s="39">
        <v>154</v>
      </c>
      <c r="V33" s="39">
        <v>335</v>
      </c>
      <c r="W33" s="39">
        <v>2492</v>
      </c>
      <c r="X33" s="39">
        <v>84</v>
      </c>
    </row>
    <row r="34" spans="3:24">
      <c r="C34" s="56" t="s">
        <v>177</v>
      </c>
      <c r="D34" s="60"/>
      <c r="E34" s="60">
        <v>1.6733669755541722</v>
      </c>
      <c r="F34" s="60">
        <v>10.467444485381417</v>
      </c>
      <c r="G34" s="60">
        <v>41.371328204126556</v>
      </c>
      <c r="H34" s="60">
        <v>63.089495333659421</v>
      </c>
      <c r="I34" s="60">
        <v>590.98337079199359</v>
      </c>
      <c r="J34" s="60">
        <v>22.750670157002467</v>
      </c>
      <c r="M34" s="39" t="s">
        <v>177</v>
      </c>
      <c r="N34" s="84">
        <v>10802724.890000001</v>
      </c>
      <c r="O34" s="84">
        <f t="shared" si="2"/>
        <v>2808708471.4000001</v>
      </c>
      <c r="Q34" s="63" t="s">
        <v>177</v>
      </c>
      <c r="R34" s="64"/>
      <c r="S34" s="39">
        <v>47</v>
      </c>
      <c r="T34" s="39">
        <v>294</v>
      </c>
      <c r="U34" s="84">
        <v>1162</v>
      </c>
      <c r="V34" s="84">
        <v>1772</v>
      </c>
      <c r="W34" s="84">
        <v>16599</v>
      </c>
      <c r="X34" s="39">
        <v>639</v>
      </c>
    </row>
    <row r="35" spans="3:24">
      <c r="C35" s="56" t="s">
        <v>178</v>
      </c>
      <c r="D35" s="60"/>
      <c r="E35" s="60">
        <v>7.1772175901711934</v>
      </c>
      <c r="F35" s="60">
        <v>11.124687264765349</v>
      </c>
      <c r="G35" s="60">
        <v>37.680392348398769</v>
      </c>
      <c r="H35" s="60">
        <v>58.135462480386664</v>
      </c>
      <c r="I35" s="60">
        <v>454.67673433734507</v>
      </c>
      <c r="J35" s="60">
        <v>26.555705083633416</v>
      </c>
      <c r="M35" s="39" t="s">
        <v>178</v>
      </c>
      <c r="N35" s="84">
        <v>1071767.3799999999</v>
      </c>
      <c r="O35" s="84">
        <f t="shared" si="2"/>
        <v>278659518.79999995</v>
      </c>
      <c r="Q35" s="63" t="s">
        <v>178</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187</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191</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8" t="s">
        <v>193</v>
      </c>
      <c r="C4" s="38" t="s">
        <v>194</v>
      </c>
      <c r="D4" s="38" t="s">
        <v>195</v>
      </c>
      <c r="E4" s="38" t="s">
        <v>196</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197</v>
      </c>
      <c r="D11" s="40">
        <v>1</v>
      </c>
      <c r="E11" s="49">
        <v>9600000</v>
      </c>
      <c r="F11" s="69"/>
      <c r="H11" s="52"/>
    </row>
    <row r="14" spans="2:9">
      <c r="B14" s="2" t="s">
        <v>198</v>
      </c>
    </row>
    <row r="16" spans="2:9">
      <c r="B16" s="38" t="s">
        <v>193</v>
      </c>
      <c r="C16" s="39" t="s">
        <v>194</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197</v>
      </c>
      <c r="D23" s="46">
        <v>1</v>
      </c>
      <c r="E23" s="46">
        <v>0</v>
      </c>
      <c r="F23" s="46">
        <v>0</v>
      </c>
      <c r="G23" s="46">
        <v>0</v>
      </c>
      <c r="H23" s="46">
        <v>0</v>
      </c>
      <c r="I23" s="46">
        <v>0</v>
      </c>
    </row>
    <row r="24" spans="2:9">
      <c r="B24" s="141" t="s">
        <v>199</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0" t="s">
        <v>202</v>
      </c>
      <c r="D3" s="70" t="s">
        <v>203</v>
      </c>
      <c r="E3" s="70" t="s">
        <v>204</v>
      </c>
      <c r="F3" s="70" t="s">
        <v>205</v>
      </c>
    </row>
    <row r="4" spans="2:6">
      <c r="C4" s="71" t="s">
        <v>206</v>
      </c>
      <c r="D4" s="92">
        <v>101</v>
      </c>
      <c r="E4" s="93">
        <v>0.2</v>
      </c>
      <c r="F4" s="94">
        <v>6</v>
      </c>
    </row>
    <row r="5" spans="2:6">
      <c r="C5" s="72" t="s">
        <v>207</v>
      </c>
      <c r="D5" s="92">
        <v>102</v>
      </c>
      <c r="E5" s="93">
        <v>0.2</v>
      </c>
      <c r="F5" s="94">
        <v>6</v>
      </c>
    </row>
    <row r="6" spans="2:6">
      <c r="C6" s="71" t="s">
        <v>208</v>
      </c>
      <c r="D6" s="92">
        <v>105</v>
      </c>
      <c r="E6" s="95">
        <v>0.25</v>
      </c>
      <c r="F6" s="94">
        <v>10</v>
      </c>
    </row>
    <row r="7" spans="2:6">
      <c r="C7" s="71" t="s">
        <v>209</v>
      </c>
      <c r="D7" s="92">
        <v>106</v>
      </c>
      <c r="E7" s="93">
        <v>0.1</v>
      </c>
      <c r="F7" s="94">
        <v>10</v>
      </c>
    </row>
    <row r="8" spans="2:6">
      <c r="C8" s="71" t="s">
        <v>210</v>
      </c>
      <c r="D8" s="92">
        <v>107</v>
      </c>
      <c r="E8" s="93">
        <v>0.28000000000000003</v>
      </c>
      <c r="F8" s="94">
        <v>10</v>
      </c>
    </row>
    <row r="9" spans="2:6">
      <c r="C9" s="71" t="s">
        <v>211</v>
      </c>
      <c r="D9" s="92">
        <v>108</v>
      </c>
      <c r="E9" s="93">
        <v>0.22</v>
      </c>
      <c r="F9" s="94">
        <v>10</v>
      </c>
    </row>
    <row r="10" spans="2:6">
      <c r="C10" s="71" t="s">
        <v>212</v>
      </c>
      <c r="D10" s="92">
        <v>110</v>
      </c>
      <c r="E10" s="93">
        <v>0.15</v>
      </c>
      <c r="F10" s="94">
        <v>10</v>
      </c>
    </row>
    <row r="11" spans="2:6">
      <c r="C11" s="71" t="s">
        <v>213</v>
      </c>
      <c r="D11" s="92">
        <v>111</v>
      </c>
      <c r="E11" s="93">
        <v>0.1</v>
      </c>
      <c r="F11" s="94">
        <v>10</v>
      </c>
    </row>
    <row r="12" spans="2:6">
      <c r="C12" s="72" t="s">
        <v>214</v>
      </c>
      <c r="D12" s="92">
        <v>112</v>
      </c>
      <c r="E12" s="93">
        <v>0.65</v>
      </c>
      <c r="F12" s="94">
        <v>1</v>
      </c>
    </row>
    <row r="13" spans="2:6">
      <c r="C13" s="71" t="s">
        <v>215</v>
      </c>
      <c r="D13" s="92">
        <v>113</v>
      </c>
      <c r="E13" s="95">
        <v>0.3</v>
      </c>
      <c r="F13" s="94">
        <v>2</v>
      </c>
    </row>
    <row r="14" spans="2:6">
      <c r="C14" s="71" t="s">
        <v>216</v>
      </c>
      <c r="D14" s="92">
        <v>114</v>
      </c>
      <c r="E14" s="93">
        <v>0.2</v>
      </c>
      <c r="F14" s="94">
        <v>5</v>
      </c>
    </row>
    <row r="15" spans="2:6">
      <c r="C15" s="71" t="s">
        <v>217</v>
      </c>
      <c r="D15" s="92">
        <v>118</v>
      </c>
      <c r="E15" s="93">
        <v>0.25</v>
      </c>
      <c r="F15" s="94">
        <v>10</v>
      </c>
    </row>
    <row r="16" spans="2:6">
      <c r="C16" s="72" t="s">
        <v>218</v>
      </c>
      <c r="D16" s="92">
        <v>119</v>
      </c>
      <c r="E16" s="93">
        <v>0.2</v>
      </c>
      <c r="F16" s="94">
        <v>6</v>
      </c>
    </row>
    <row r="17" spans="3:6">
      <c r="C17" s="71" t="s">
        <v>219</v>
      </c>
      <c r="D17" s="92">
        <v>121</v>
      </c>
      <c r="E17" s="95">
        <v>0.15</v>
      </c>
      <c r="F17" s="94">
        <v>6</v>
      </c>
    </row>
    <row r="18" spans="3:6" ht="30">
      <c r="C18" s="72" t="s">
        <v>220</v>
      </c>
      <c r="D18" s="92">
        <v>122</v>
      </c>
      <c r="E18" s="93">
        <v>0.1</v>
      </c>
      <c r="F18" s="94">
        <v>10</v>
      </c>
    </row>
    <row r="19" spans="3:6">
      <c r="C19" s="72" t="s">
        <v>221</v>
      </c>
      <c r="D19" s="92">
        <v>123</v>
      </c>
      <c r="E19" s="93">
        <v>0.1</v>
      </c>
      <c r="F19" s="94">
        <v>10</v>
      </c>
    </row>
    <row r="20" spans="3:6" ht="30">
      <c r="C20" s="72" t="s">
        <v>222</v>
      </c>
      <c r="D20" s="92">
        <v>124</v>
      </c>
      <c r="E20" s="93">
        <v>0.15</v>
      </c>
      <c r="F20" s="94">
        <v>10</v>
      </c>
    </row>
    <row r="21" spans="3:6">
      <c r="C21" s="71" t="s">
        <v>223</v>
      </c>
      <c r="D21" s="92">
        <v>125</v>
      </c>
      <c r="E21" s="95">
        <v>0.15</v>
      </c>
      <c r="F21" s="94">
        <v>10</v>
      </c>
    </row>
    <row r="22" spans="3:6" ht="30">
      <c r="C22" s="72" t="s">
        <v>224</v>
      </c>
      <c r="D22" s="92">
        <v>126</v>
      </c>
      <c r="E22" s="93">
        <v>0.2</v>
      </c>
      <c r="F22" s="94">
        <v>10</v>
      </c>
    </row>
    <row r="23" spans="3:6" ht="30">
      <c r="C23" s="72" t="s">
        <v>225</v>
      </c>
      <c r="D23" s="92">
        <v>127</v>
      </c>
      <c r="E23" s="93">
        <v>0.1</v>
      </c>
      <c r="F23" s="94">
        <v>10</v>
      </c>
    </row>
    <row r="24" spans="3:6" ht="30">
      <c r="C24" s="72" t="s">
        <v>226</v>
      </c>
      <c r="D24" s="92">
        <v>128</v>
      </c>
      <c r="E24" s="93">
        <v>0.05</v>
      </c>
      <c r="F24" s="94">
        <v>6</v>
      </c>
    </row>
    <row r="25" spans="3:6" ht="30">
      <c r="C25" s="72" t="s">
        <v>227</v>
      </c>
      <c r="D25" s="92">
        <v>129</v>
      </c>
      <c r="E25" s="93">
        <v>0.1</v>
      </c>
      <c r="F25" s="94">
        <v>10</v>
      </c>
    </row>
    <row r="26" spans="3:6">
      <c r="C26" s="71" t="s">
        <v>228</v>
      </c>
      <c r="D26" s="92">
        <v>130</v>
      </c>
      <c r="E26" s="95">
        <v>0.05</v>
      </c>
      <c r="F26" s="94">
        <v>6</v>
      </c>
    </row>
    <row r="27" spans="3:6">
      <c r="C27" s="71" t="s">
        <v>229</v>
      </c>
      <c r="D27" s="92">
        <v>131</v>
      </c>
      <c r="E27" s="93">
        <v>0.1</v>
      </c>
      <c r="F27" s="94">
        <v>10</v>
      </c>
    </row>
    <row r="28" spans="3:6">
      <c r="C28" s="71" t="s">
        <v>230</v>
      </c>
      <c r="D28" s="92">
        <v>132</v>
      </c>
      <c r="E28" s="93">
        <v>0.1</v>
      </c>
      <c r="F28" s="94">
        <v>10</v>
      </c>
    </row>
    <row r="29" spans="3:6">
      <c r="C29" s="71" t="s">
        <v>231</v>
      </c>
      <c r="D29" s="92">
        <v>133</v>
      </c>
      <c r="E29" s="93">
        <v>0.05</v>
      </c>
      <c r="F29" s="94">
        <v>5</v>
      </c>
    </row>
    <row r="30" spans="3:6">
      <c r="C30" s="71" t="s">
        <v>232</v>
      </c>
      <c r="D30" s="92">
        <v>202</v>
      </c>
      <c r="E30" s="93">
        <v>0.4</v>
      </c>
      <c r="F30" s="94">
        <v>15</v>
      </c>
    </row>
    <row r="31" spans="3:6">
      <c r="C31" s="71" t="s">
        <v>233</v>
      </c>
      <c r="D31" s="92">
        <v>201</v>
      </c>
      <c r="E31" s="93">
        <v>0.65</v>
      </c>
      <c r="F31" s="94">
        <v>15</v>
      </c>
    </row>
    <row r="32" spans="3:6">
      <c r="C32" s="71" t="s">
        <v>234</v>
      </c>
      <c r="D32" s="92">
        <v>203</v>
      </c>
      <c r="E32" s="93">
        <v>0.4</v>
      </c>
      <c r="F32" s="94">
        <v>20</v>
      </c>
    </row>
    <row r="33" spans="3:6">
      <c r="C33" s="72" t="s">
        <v>235</v>
      </c>
      <c r="D33" s="92">
        <v>204</v>
      </c>
      <c r="E33" s="93">
        <v>0.46</v>
      </c>
      <c r="F33" s="94">
        <v>20</v>
      </c>
    </row>
    <row r="34" spans="3:6">
      <c r="C34" s="71" t="s">
        <v>236</v>
      </c>
      <c r="D34" s="92">
        <v>205</v>
      </c>
      <c r="E34" s="95">
        <v>0.15</v>
      </c>
      <c r="F34" s="94">
        <v>10</v>
      </c>
    </row>
    <row r="35" spans="3:6">
      <c r="C35" s="71" t="s">
        <v>237</v>
      </c>
      <c r="D35" s="92">
        <v>206</v>
      </c>
      <c r="E35" s="93">
        <v>7.0000000000000007E-2</v>
      </c>
      <c r="F35" s="94">
        <v>10</v>
      </c>
    </row>
    <row r="36" spans="3:6">
      <c r="C36" s="72" t="s">
        <v>238</v>
      </c>
      <c r="D36" s="92">
        <v>207</v>
      </c>
      <c r="E36" s="93">
        <v>0.3</v>
      </c>
      <c r="F36" s="94">
        <v>10</v>
      </c>
    </row>
    <row r="37" spans="3:6">
      <c r="C37" s="71" t="s">
        <v>239</v>
      </c>
      <c r="D37" s="92">
        <v>209</v>
      </c>
      <c r="E37" s="95">
        <v>0.55000000000000004</v>
      </c>
      <c r="F37" s="94">
        <v>20</v>
      </c>
    </row>
    <row r="38" spans="3:6">
      <c r="C38" s="71" t="s">
        <v>240</v>
      </c>
      <c r="D38" s="92">
        <v>217</v>
      </c>
      <c r="E38" s="93">
        <v>0.6</v>
      </c>
      <c r="F38" s="94">
        <v>10</v>
      </c>
    </row>
    <row r="39" spans="3:6">
      <c r="C39" s="71" t="s">
        <v>241</v>
      </c>
      <c r="D39" s="92">
        <v>218</v>
      </c>
      <c r="E39" s="93">
        <v>0.55000000000000004</v>
      </c>
      <c r="F39" s="94">
        <v>20</v>
      </c>
    </row>
    <row r="40" spans="3:6">
      <c r="C40" s="71" t="s">
        <v>242</v>
      </c>
      <c r="D40" s="92">
        <v>219</v>
      </c>
      <c r="E40" s="93">
        <v>0.1</v>
      </c>
      <c r="F40" s="94">
        <v>10</v>
      </c>
    </row>
    <row r="41" spans="3:6">
      <c r="C41" s="71" t="s">
        <v>243</v>
      </c>
      <c r="D41" s="92">
        <v>222</v>
      </c>
      <c r="E41" s="93">
        <v>0.1</v>
      </c>
      <c r="F41" s="94">
        <v>10</v>
      </c>
    </row>
    <row r="42" spans="3:6">
      <c r="C42" s="71" t="s">
        <v>244</v>
      </c>
      <c r="D42" s="92">
        <v>303</v>
      </c>
      <c r="E42" s="93">
        <v>0.42</v>
      </c>
      <c r="F42" s="94">
        <v>10</v>
      </c>
    </row>
    <row r="43" spans="3:6">
      <c r="C43" s="72" t="s">
        <v>245</v>
      </c>
      <c r="D43" s="92">
        <v>304</v>
      </c>
      <c r="E43" s="93">
        <v>0.4</v>
      </c>
      <c r="F43" s="94">
        <v>15</v>
      </c>
    </row>
    <row r="44" spans="3:6">
      <c r="C44" s="71" t="s">
        <v>246</v>
      </c>
      <c r="D44" s="92">
        <v>305</v>
      </c>
      <c r="E44" s="95">
        <v>0.75</v>
      </c>
      <c r="F44" s="94">
        <v>15</v>
      </c>
    </row>
    <row r="45" spans="3:6">
      <c r="C45" s="39" t="s">
        <v>247</v>
      </c>
      <c r="D45" s="94">
        <v>401</v>
      </c>
      <c r="E45" s="96">
        <v>0.2</v>
      </c>
      <c r="F45" s="94">
        <v>2</v>
      </c>
    </row>
    <row r="46" spans="3:6">
      <c r="C46" s="39" t="s">
        <v>248</v>
      </c>
      <c r="D46" s="94">
        <v>402</v>
      </c>
      <c r="E46" s="96">
        <v>0.25</v>
      </c>
      <c r="F46" s="94">
        <v>2</v>
      </c>
    </row>
    <row r="47" spans="3:6">
      <c r="C47" s="72" t="s">
        <v>249</v>
      </c>
      <c r="D47" s="94">
        <v>403</v>
      </c>
      <c r="E47" s="96">
        <v>0.1</v>
      </c>
      <c r="F47" s="94">
        <v>2</v>
      </c>
    </row>
    <row r="48" spans="3:6">
      <c r="C48" s="72" t="s">
        <v>250</v>
      </c>
      <c r="D48" s="94">
        <v>404</v>
      </c>
      <c r="E48" s="96">
        <v>0.65</v>
      </c>
      <c r="F48" s="94">
        <v>2</v>
      </c>
    </row>
    <row r="49" spans="3:6">
      <c r="C49" s="39" t="s">
        <v>251</v>
      </c>
      <c r="D49" s="94">
        <v>407</v>
      </c>
      <c r="E49" s="95">
        <v>0.2</v>
      </c>
      <c r="F49" s="94">
        <v>10</v>
      </c>
    </row>
    <row r="50" spans="3:6">
      <c r="C50" s="71" t="s">
        <v>70</v>
      </c>
      <c r="D50" s="92">
        <v>501</v>
      </c>
      <c r="E50" s="93">
        <v>0.15</v>
      </c>
      <c r="F50" s="94">
        <v>20</v>
      </c>
    </row>
    <row r="51" spans="3:6">
      <c r="C51" s="71" t="s">
        <v>252</v>
      </c>
      <c r="D51" s="92">
        <v>502</v>
      </c>
      <c r="E51" s="93">
        <v>0.3</v>
      </c>
      <c r="F51" s="94">
        <v>20</v>
      </c>
    </row>
    <row r="52" spans="3:6">
      <c r="C52" s="71" t="s">
        <v>253</v>
      </c>
      <c r="D52" s="92">
        <v>503</v>
      </c>
      <c r="E52" s="93">
        <v>0.25</v>
      </c>
      <c r="F52" s="94">
        <v>20</v>
      </c>
    </row>
    <row r="53" spans="3:6">
      <c r="C53" s="71" t="s">
        <v>254</v>
      </c>
      <c r="D53" s="92">
        <v>504</v>
      </c>
      <c r="E53" s="93">
        <v>0.25</v>
      </c>
      <c r="F53" s="94">
        <v>20</v>
      </c>
    </row>
    <row r="54" spans="3:6">
      <c r="C54" s="72" t="s">
        <v>255</v>
      </c>
      <c r="D54" s="92">
        <v>505</v>
      </c>
      <c r="E54" s="93">
        <v>0.5</v>
      </c>
      <c r="F54" s="94">
        <v>10</v>
      </c>
    </row>
    <row r="55" spans="3:6">
      <c r="C55" s="71" t="s">
        <v>256</v>
      </c>
      <c r="D55" s="92">
        <v>506</v>
      </c>
      <c r="E55" s="95">
        <v>0.5</v>
      </c>
      <c r="F55" s="94">
        <v>10</v>
      </c>
    </row>
    <row r="56" spans="3:6">
      <c r="C56" s="72" t="s">
        <v>257</v>
      </c>
      <c r="D56" s="92">
        <v>507</v>
      </c>
      <c r="E56" s="95">
        <v>0.65</v>
      </c>
      <c r="F56" s="94">
        <v>10</v>
      </c>
    </row>
    <row r="57" spans="3:6">
      <c r="C57" s="72" t="s">
        <v>258</v>
      </c>
      <c r="D57" s="92">
        <v>510</v>
      </c>
      <c r="E57" s="95">
        <v>0.4</v>
      </c>
      <c r="F57" s="94">
        <v>10</v>
      </c>
    </row>
    <row r="58" spans="3:6">
      <c r="C58" s="71" t="s">
        <v>259</v>
      </c>
      <c r="D58" s="92">
        <v>511</v>
      </c>
      <c r="E58" s="95">
        <v>0.1</v>
      </c>
      <c r="F58" s="94">
        <v>10</v>
      </c>
    </row>
    <row r="59" spans="3:6">
      <c r="C59" s="71" t="s">
        <v>260</v>
      </c>
      <c r="D59" s="92">
        <v>514</v>
      </c>
      <c r="E59" s="93">
        <v>0.8</v>
      </c>
      <c r="F59" s="94">
        <v>30</v>
      </c>
    </row>
    <row r="60" spans="3:6">
      <c r="C60" s="71" t="s">
        <v>261</v>
      </c>
      <c r="D60" s="92">
        <v>515</v>
      </c>
      <c r="E60" s="93">
        <v>0.65</v>
      </c>
      <c r="F60" s="94">
        <v>30</v>
      </c>
    </row>
    <row r="61" spans="3:6">
      <c r="C61" s="72" t="s">
        <v>262</v>
      </c>
      <c r="D61" s="92">
        <v>516</v>
      </c>
      <c r="E61" s="93">
        <v>0.95</v>
      </c>
      <c r="F61" s="94">
        <v>20</v>
      </c>
    </row>
    <row r="62" spans="3:6">
      <c r="C62" s="71" t="s">
        <v>263</v>
      </c>
      <c r="D62" s="92">
        <v>517</v>
      </c>
      <c r="E62" s="95">
        <v>0.28000000000000003</v>
      </c>
      <c r="F62" s="94">
        <v>20</v>
      </c>
    </row>
    <row r="63" spans="3:6">
      <c r="C63" s="71" t="s">
        <v>264</v>
      </c>
      <c r="D63" s="92">
        <v>518</v>
      </c>
      <c r="E63" s="93">
        <v>0.45</v>
      </c>
      <c r="F63" s="94">
        <v>10</v>
      </c>
    </row>
    <row r="64" spans="3:6">
      <c r="C64" s="71" t="s">
        <v>265</v>
      </c>
      <c r="D64" s="92">
        <v>519</v>
      </c>
      <c r="E64" s="93">
        <v>0.25</v>
      </c>
      <c r="F64" s="94">
        <v>10</v>
      </c>
    </row>
    <row r="65" spans="3:6">
      <c r="C65" s="71" t="s">
        <v>266</v>
      </c>
      <c r="D65" s="92">
        <v>520</v>
      </c>
      <c r="E65" s="93">
        <v>0.4</v>
      </c>
      <c r="F65" s="94">
        <v>10</v>
      </c>
    </row>
    <row r="66" spans="3:6">
      <c r="C66" s="71" t="s">
        <v>267</v>
      </c>
      <c r="D66" s="92">
        <v>521</v>
      </c>
      <c r="E66" s="93">
        <v>0.25</v>
      </c>
      <c r="F66" s="94">
        <v>10</v>
      </c>
    </row>
    <row r="67" spans="3:6">
      <c r="C67" s="71" t="s">
        <v>268</v>
      </c>
      <c r="D67" s="92">
        <v>522</v>
      </c>
      <c r="E67" s="93">
        <v>0.4</v>
      </c>
      <c r="F67" s="94">
        <v>10</v>
      </c>
    </row>
    <row r="68" spans="3:6">
      <c r="C68" s="71" t="s">
        <v>269</v>
      </c>
      <c r="D68" s="92">
        <v>523</v>
      </c>
      <c r="E68" s="93">
        <v>0.95</v>
      </c>
      <c r="F68" s="94">
        <v>10</v>
      </c>
    </row>
    <row r="69" spans="3:6">
      <c r="C69" s="71" t="s">
        <v>270</v>
      </c>
      <c r="D69" s="92">
        <v>524</v>
      </c>
      <c r="E69" s="93">
        <v>0.1</v>
      </c>
      <c r="F69" s="94">
        <v>10</v>
      </c>
    </row>
    <row r="70" spans="3:6">
      <c r="C70" s="72" t="s">
        <v>271</v>
      </c>
      <c r="D70" s="92">
        <v>525</v>
      </c>
      <c r="E70" s="93">
        <v>0.25</v>
      </c>
      <c r="F70" s="94">
        <v>10</v>
      </c>
    </row>
    <row r="71" spans="3:6">
      <c r="C71" s="71" t="s">
        <v>272</v>
      </c>
      <c r="D71" s="92">
        <v>526</v>
      </c>
      <c r="E71" s="95">
        <v>0.5</v>
      </c>
      <c r="F71" s="94">
        <v>10</v>
      </c>
    </row>
    <row r="72" spans="3:6">
      <c r="C72" s="71" t="s">
        <v>273</v>
      </c>
      <c r="D72" s="92">
        <v>527</v>
      </c>
      <c r="E72" s="93">
        <v>0.95</v>
      </c>
      <c r="F72" s="94">
        <v>10</v>
      </c>
    </row>
    <row r="73" spans="3:6">
      <c r="C73" s="71" t="s">
        <v>274</v>
      </c>
      <c r="D73" s="92">
        <v>528</v>
      </c>
      <c r="E73" s="93">
        <v>0.2</v>
      </c>
      <c r="F73" s="94">
        <v>10</v>
      </c>
    </row>
    <row r="74" spans="3:6">
      <c r="C74" s="71" t="s">
        <v>275</v>
      </c>
      <c r="D74" s="92">
        <v>529</v>
      </c>
      <c r="E74" s="93">
        <v>0.35</v>
      </c>
      <c r="F74" s="94">
        <v>10</v>
      </c>
    </row>
    <row r="75" spans="3:6">
      <c r="C75" s="71" t="s">
        <v>276</v>
      </c>
      <c r="D75" s="92">
        <v>532</v>
      </c>
      <c r="E75" s="95">
        <v>0.25</v>
      </c>
      <c r="F75" s="94">
        <v>10</v>
      </c>
    </row>
    <row r="76" spans="3:6">
      <c r="C76" s="71" t="s">
        <v>277</v>
      </c>
      <c r="D76" s="92">
        <v>533</v>
      </c>
      <c r="E76" s="93">
        <v>0.15</v>
      </c>
      <c r="F76" s="94">
        <v>5</v>
      </c>
    </row>
    <row r="77" spans="3:6">
      <c r="C77" s="71" t="s">
        <v>278</v>
      </c>
      <c r="D77" s="92">
        <v>535</v>
      </c>
      <c r="E77" s="93">
        <v>0.2</v>
      </c>
      <c r="F77" s="94">
        <v>10</v>
      </c>
    </row>
    <row r="78" spans="3:6">
      <c r="C78" s="71" t="s">
        <v>279</v>
      </c>
      <c r="D78" s="92">
        <v>536</v>
      </c>
      <c r="E78" s="93">
        <v>0.4</v>
      </c>
      <c r="F78" s="94">
        <v>20</v>
      </c>
    </row>
    <row r="79" spans="3:6">
      <c r="C79" s="71" t="s">
        <v>280</v>
      </c>
      <c r="D79" s="92">
        <v>537</v>
      </c>
      <c r="E79" s="93">
        <v>0.4</v>
      </c>
      <c r="F79" s="94">
        <v>20</v>
      </c>
    </row>
    <row r="80" spans="3:6">
      <c r="C80" s="71" t="s">
        <v>281</v>
      </c>
      <c r="D80" s="92">
        <v>538</v>
      </c>
      <c r="E80" s="93">
        <v>0.45</v>
      </c>
      <c r="F80" s="94">
        <v>20</v>
      </c>
    </row>
    <row r="81" spans="3:6">
      <c r="C81" s="71" t="s">
        <v>282</v>
      </c>
      <c r="D81" s="92">
        <v>539</v>
      </c>
      <c r="E81" s="93">
        <v>0.4</v>
      </c>
      <c r="F81" s="94">
        <v>20</v>
      </c>
    </row>
    <row r="82" spans="3:6">
      <c r="C82" s="71" t="s">
        <v>283</v>
      </c>
      <c r="D82" s="92">
        <v>540</v>
      </c>
      <c r="E82" s="93">
        <v>0.25</v>
      </c>
      <c r="F82" s="94">
        <v>10</v>
      </c>
    </row>
    <row r="83" spans="3:6">
      <c r="C83" s="71" t="s">
        <v>284</v>
      </c>
      <c r="D83" s="92">
        <v>542</v>
      </c>
      <c r="E83" s="93">
        <v>0.35</v>
      </c>
      <c r="F83" s="94">
        <v>10</v>
      </c>
    </row>
    <row r="84" spans="3:6">
      <c r="C84" s="71" t="s">
        <v>285</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421AAA-0EBB-4B4C-A684-AA5F0D8B2B66}"/>
</file>

<file path=customXml/itemProps2.xml><?xml version="1.0" encoding="utf-8"?>
<ds:datastoreItem xmlns:ds="http://schemas.openxmlformats.org/officeDocument/2006/customXml" ds:itemID="{950CF41B-F779-482D-BA31-9EF67A4AFFB0}"/>
</file>

<file path=customXml/itemProps3.xml><?xml version="1.0" encoding="utf-8"?>
<ds:datastoreItem xmlns:ds="http://schemas.openxmlformats.org/officeDocument/2006/customXml" ds:itemID="{2BF53208-461E-4555-820A-1F19BDB55ED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2018-10-31T00:25:05Z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