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7_IH10/"/>
    </mc:Choice>
  </mc:AlternateContent>
  <xr:revisionPtr revIDLastSave="29" documentId="8_{9D8E5C41-19F2-4C13-96E9-C48A9BE05B47}" xr6:coauthVersionLast="40" xr6:coauthVersionMax="40" xr10:uidLastSave="{1C152233-C334-480D-A0DD-55CB7D7DF203}"/>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P4" i="12"/>
  <c r="S4" i="12"/>
  <c r="T4"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7" i="12"/>
  <c r="E8" i="12"/>
  <c r="E5" i="12"/>
  <c r="I4" i="12"/>
  <c r="N4" i="12"/>
  <c r="E11" i="12"/>
  <c r="E13" i="12"/>
  <c r="M30" i="12"/>
  <c r="M5" i="12"/>
  <c r="M9" i="12"/>
  <c r="M6" i="12"/>
  <c r="M25" i="12"/>
  <c r="M15" i="12"/>
  <c r="M7" i="12"/>
  <c r="M26" i="12"/>
  <c r="M23" i="12"/>
  <c r="M33" i="12"/>
  <c r="M24" i="12"/>
  <c r="M29" i="12"/>
  <c r="M18" i="12"/>
  <c r="M28" i="12"/>
  <c r="M35" i="12"/>
  <c r="M8" i="12"/>
  <c r="M21" i="12"/>
  <c r="M10" i="12"/>
  <c r="M22" i="12"/>
  <c r="M32" i="12"/>
  <c r="M17" i="12"/>
  <c r="M13" i="12"/>
  <c r="M19" i="12"/>
  <c r="M27" i="12"/>
  <c r="M20" i="12"/>
  <c r="M34" i="12"/>
  <c r="M11" i="12"/>
  <c r="M16" i="12"/>
  <c r="M12" i="12"/>
  <c r="M36" i="12"/>
  <c r="M31" i="12"/>
  <c r="M14" i="12"/>
  <c r="J5" i="12"/>
  <c r="K5" i="12"/>
  <c r="K6" i="12"/>
  <c r="K7" i="12"/>
  <c r="K8" i="12"/>
  <c r="K9" i="12"/>
  <c r="K10" i="12"/>
  <c r="N5" i="12"/>
  <c r="O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O5" i="12"/>
  <c r="N6" i="12"/>
  <c r="P5" i="12"/>
  <c r="S5" i="12"/>
  <c r="T5" i="12"/>
  <c r="J6" i="12"/>
  <c r="O6" i="12"/>
  <c r="N7" i="12"/>
  <c r="J7" i="12"/>
  <c r="P6" i="12"/>
  <c r="S6" i="12"/>
  <c r="T6" i="12"/>
  <c r="G29" i="11"/>
  <c r="F4" i="12"/>
  <c r="J11" i="12"/>
  <c r="F29" i="11"/>
  <c r="E4"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P11" i="12"/>
  <c r="S11" i="12"/>
  <c r="T11" i="12"/>
  <c r="J12" i="12"/>
  <c r="N8" i="12"/>
  <c r="O7" i="12"/>
  <c r="P7" i="12"/>
  <c r="S7" i="12"/>
  <c r="T7" i="12"/>
  <c r="J8" i="12"/>
  <c r="O8" i="12"/>
  <c r="N9" i="12"/>
  <c r="J9" i="12"/>
  <c r="P8" i="12"/>
  <c r="S8" i="12"/>
  <c r="T8" i="12"/>
  <c r="P12" i="12"/>
  <c r="S12" i="12"/>
  <c r="T12" i="12"/>
  <c r="J13" i="12"/>
  <c r="P13" i="12"/>
  <c r="S13" i="12"/>
  <c r="T13" i="12"/>
  <c r="J14" i="12"/>
  <c r="P9" i="12"/>
  <c r="S9" i="12"/>
  <c r="T9" i="12"/>
  <c r="J10" i="12"/>
  <c r="P10" i="12"/>
  <c r="S10" i="12"/>
  <c r="T10" i="12"/>
  <c r="O9" i="12"/>
  <c r="N10" i="12"/>
  <c r="O10" i="12"/>
  <c r="N11" i="12"/>
  <c r="J15" i="12"/>
  <c r="P14" i="12"/>
  <c r="S14" i="12"/>
  <c r="T14" i="12"/>
  <c r="J16" i="12"/>
  <c r="P15" i="12"/>
  <c r="S15" i="12"/>
  <c r="T15" i="12"/>
  <c r="O11" i="12"/>
  <c r="N12" i="12"/>
  <c r="P16" i="12"/>
  <c r="S16" i="12"/>
  <c r="T16" i="12"/>
  <c r="J17" i="12"/>
  <c r="N13" i="12"/>
  <c r="O12" i="12"/>
  <c r="O13" i="12"/>
  <c r="N14" i="12"/>
  <c r="P17" i="12"/>
  <c r="S17" i="12"/>
  <c r="T17" i="12"/>
  <c r="J18" i="12"/>
  <c r="J19" i="12"/>
  <c r="P18" i="12"/>
  <c r="S18" i="12"/>
  <c r="T18" i="12"/>
  <c r="N15" i="12"/>
  <c r="O14" i="12"/>
  <c r="N16" i="12"/>
  <c r="O15" i="12"/>
  <c r="P19" i="12"/>
  <c r="S19" i="12"/>
  <c r="T19" i="12"/>
  <c r="J20" i="12"/>
  <c r="J21" i="12"/>
  <c r="P20" i="12"/>
  <c r="S20" i="12"/>
  <c r="T20" i="12"/>
  <c r="N17" i="12"/>
  <c r="O16" i="12"/>
  <c r="P21" i="12"/>
  <c r="S21" i="12"/>
  <c r="T21" i="12"/>
  <c r="J22" i="12"/>
  <c r="O17" i="12"/>
  <c r="N18" i="12"/>
  <c r="J23" i="12"/>
  <c r="P22" i="12"/>
  <c r="S22" i="12"/>
  <c r="T22" i="12"/>
  <c r="N19" i="12"/>
  <c r="O18" i="12"/>
  <c r="P23" i="12"/>
  <c r="S23" i="12"/>
  <c r="T23" i="12"/>
  <c r="J24" i="12"/>
  <c r="N20" i="12"/>
  <c r="O19" i="12"/>
  <c r="J25" i="12"/>
  <c r="P24" i="12"/>
  <c r="S24" i="12"/>
  <c r="T24" i="12"/>
  <c r="O20" i="12"/>
  <c r="N21" i="12"/>
  <c r="J26" i="12"/>
  <c r="P25" i="12"/>
  <c r="S25" i="12"/>
  <c r="T25" i="12"/>
  <c r="O21" i="12"/>
  <c r="N22" i="12"/>
  <c r="J27" i="12"/>
  <c r="P26" i="12"/>
  <c r="S26" i="12"/>
  <c r="T26" i="12"/>
  <c r="O22" i="12"/>
  <c r="N23" i="12"/>
  <c r="O23" i="12"/>
  <c r="N24" i="12"/>
  <c r="J28" i="12"/>
  <c r="P27" i="12"/>
  <c r="S27" i="12"/>
  <c r="T27" i="12"/>
  <c r="P28" i="12"/>
  <c r="S28" i="12"/>
  <c r="T28" i="12"/>
  <c r="J29" i="12"/>
  <c r="O24" i="12"/>
  <c r="N25" i="12"/>
  <c r="O25" i="12"/>
  <c r="N26" i="12"/>
  <c r="J30" i="12"/>
  <c r="P29" i="12"/>
  <c r="S29" i="12"/>
  <c r="T29" i="12"/>
  <c r="J31" i="12"/>
  <c r="P30" i="12"/>
  <c r="S30" i="12"/>
  <c r="T30" i="12"/>
  <c r="N27" i="12"/>
  <c r="O26" i="12"/>
  <c r="O27" i="12"/>
  <c r="N28" i="12"/>
  <c r="J32" i="12"/>
  <c r="P31" i="12"/>
  <c r="S31" i="12"/>
  <c r="T31" i="12"/>
  <c r="J33" i="12"/>
  <c r="P32" i="12"/>
  <c r="S32" i="12"/>
  <c r="T32" i="12"/>
  <c r="O28" i="12"/>
  <c r="N29" i="12"/>
  <c r="N30" i="12"/>
  <c r="O29" i="12"/>
  <c r="P33" i="12"/>
  <c r="S33" i="12"/>
  <c r="T33" i="12"/>
  <c r="J34" i="12"/>
  <c r="P34" i="12"/>
  <c r="S34" i="12"/>
  <c r="T34" i="12"/>
  <c r="J35" i="12"/>
  <c r="N31" i="12"/>
  <c r="O30" i="12"/>
  <c r="N32" i="12"/>
  <c r="O31" i="12"/>
  <c r="J36" i="12"/>
  <c r="P36" i="12"/>
  <c r="S36" i="12"/>
  <c r="T36" i="12"/>
  <c r="P35" i="12"/>
  <c r="S35" i="12"/>
  <c r="T35" i="12"/>
  <c r="T37" i="12"/>
  <c r="B46" i="11"/>
  <c r="O32" i="12"/>
  <c r="N33" i="12"/>
  <c r="N34" i="12"/>
  <c r="O33" i="12"/>
  <c r="O34" i="12"/>
  <c r="N35" i="12"/>
  <c r="O35" i="12"/>
  <c r="N36" i="12"/>
  <c r="O36"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<sst xmlns="http://schemas.openxmlformats.org/spreadsheetml/2006/main" count="292" uniqueCount="238">
  <si>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</si>
  <si>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</si>
  <si>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</si>
  <si>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</si>
  <si>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</si>
  <si>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</si>
  <si>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</si>
  <si>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</si>
  <si>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</si>
  <si>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</si>
  <si>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</si>
  <si>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</si>
  <si>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</si>
  <si>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</si>
  <si>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</si>
  <si>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</si>
  <si>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</si>
  <si>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</si>
  <si>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</si>
  <si>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</si>
  <si>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</si>
  <si>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</si>
  <si>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</si>
  <si>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</si>
  <si>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</si>
  <si>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</si>
  <si>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</si>
  <si>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</si>
  <si>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</si>
  <si>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</si>
  <si>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</si>
  <si>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</si>
  <si>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</si>
  <si>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</si>
  <si>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</si>
  <si>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</si>
  <si>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</si>
  <si>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</si>
  <si>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</si>
  <si>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</si>
  <si>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</si>
  <si>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</si>
  <si>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</si>
  <si>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</si>
  <si>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</si>
  <si>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</si>
  <si>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</si>
  <si>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</si>
  <si>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</si>
  <si>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10/SH 73 Ramp Overpass</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</si>
  <si>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</si>
  <si>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</si>
  <si>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</si>
  <si>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</si>
  <si>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</si>
  <si>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</si>
  <si>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</si>
  <si>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</si>
  <si>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</si>
  <si>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</si>
  <si>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</si>
  <si>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At SH 73</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</si>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</sst>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 zoomScale="115" zoomScaleNormal="115" workbookViewId="0" xr3:uid="{51F8DEE0-4D01-5F28-A812-FC0BD7CAC4A5}">
      <selection activeCell="B15" sqref="B15"/>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0.6</v>
      </c>
    </row>
    <row r="13" spans="1:7">
      <c r="A13" s="7" t="s">
        <v>65</v>
      </c>
      <c r="B13" s="116">
        <v>245</v>
      </c>
      <c r="F13" s="99"/>
    </row>
    <row r="14" spans="1:7">
      <c r="A14" s="7" t="s">
        <v>66</v>
      </c>
      <c r="B14" s="116" t="s">
        <v>67</v>
      </c>
    </row>
    <row r="17" spans="1:7">
      <c r="A17" s="98" t="s">
        <v>68</v>
      </c>
      <c r="E17" s="130" t="s">
        <v>69</v>
      </c>
      <c r="F17" s="131"/>
    </row>
    <row r="18" spans="1:7">
      <c r="A18" s="7" t="s">
        <v>70</v>
      </c>
      <c r="B18" s="117">
        <v>2025</v>
      </c>
      <c r="E18" s="87" t="s">
        <v>71</v>
      </c>
      <c r="F18" s="123">
        <f>$B$12/$B$32</f>
        <v>7.8947368421052634E-3</v>
      </c>
    </row>
    <row r="19" spans="1:7" ht="30">
      <c r="A19" s="7" t="s">
        <v>72</v>
      </c>
      <c r="B19" s="118" t="s">
        <v>73</v>
      </c>
      <c r="E19" s="89" t="s">
        <v>74</v>
      </c>
      <c r="F19" s="124">
        <f>$B$12/$B$33</f>
        <v>8.1081081081081086E-3</v>
      </c>
    </row>
    <row r="20" spans="1:7" ht="28.9">
      <c r="A20" s="113" t="s">
        <v>75</v>
      </c>
      <c r="B20" s="114">
        <f>VLOOKUP(B19,'Delay Reduction Factors'!B4:C80,2, FALSE)</f>
        <v>0.2</v>
      </c>
      <c r="E20" s="89" t="s">
        <v>76</v>
      </c>
      <c r="F20" s="123">
        <f>$F$19-$F$18</f>
        <v>2.1337126600284514E-4</v>
      </c>
    </row>
    <row r="21" spans="1:7">
      <c r="A21" s="7" t="s">
        <v>77</v>
      </c>
      <c r="B21" s="63">
        <v>30</v>
      </c>
      <c r="D21" s="100"/>
      <c r="E21" s="87" t="s">
        <v>78</v>
      </c>
      <c r="F21" s="123">
        <f>$F$20*$B$20</f>
        <v>4.267425320056903E-5</v>
      </c>
      <c r="G21" s="101"/>
    </row>
    <row r="22" spans="1:7">
      <c r="D22" s="100"/>
      <c r="E22" s="87" t="s">
        <v>79</v>
      </c>
      <c r="F22" s="123">
        <f>$F$20-$F$21</f>
        <v>1.7069701280227612E-4</v>
      </c>
      <c r="G22" s="101"/>
    </row>
    <row r="23" spans="1:7">
      <c r="E23" s="87" t="s">
        <v>80</v>
      </c>
      <c r="F23" s="123">
        <f>$F$18+$F$22</f>
        <v>8.0654338549075392E-3</v>
      </c>
    </row>
    <row r="24" spans="1:7">
      <c r="A24" s="98" t="s">
        <v>81</v>
      </c>
      <c r="B24" s="102"/>
      <c r="D24" s="100"/>
    </row>
    <row r="25" spans="1:7">
      <c r="A25" s="7" t="s">
        <v>82</v>
      </c>
      <c r="B25" s="119">
        <v>76620</v>
      </c>
      <c r="D25" s="100"/>
    </row>
    <row r="28" spans="1:7">
      <c r="A28" s="87" t="s">
        <v>83</v>
      </c>
      <c r="B28" s="112">
        <f>IF(FacilityType='Delay Reduction Factors'!N5,'Inputs &amp; Outputs'!B25*45%, B25*43%)</f>
        <v>34479</v>
      </c>
      <c r="D28" s="100"/>
      <c r="E28" s="103" t="s">
        <v>84</v>
      </c>
      <c r="F28" s="104" t="s">
        <v>2</v>
      </c>
      <c r="G28" s="105" t="s">
        <v>85</v>
      </c>
    </row>
    <row r="29" spans="1:7">
      <c r="A29" s="87" t="s">
        <v>86</v>
      </c>
      <c r="B29" s="95">
        <f>VLOOKUP(Year_Open_to_Traffic?,Calculations!H4:I36,2)</f>
        <v>29137</v>
      </c>
      <c r="D29" s="100"/>
      <c r="E29" s="89" t="s">
        <v>87</v>
      </c>
      <c r="F29" s="83">
        <f>$B$29*$F$23</f>
        <v>235.00254623044097</v>
      </c>
      <c r="G29" s="84">
        <f>$B$29*$F$19</f>
        <v>236.24594594594595</v>
      </c>
    </row>
    <row r="30" spans="1:7">
      <c r="B30" s="82"/>
      <c r="D30" s="100"/>
    </row>
    <row r="32" spans="1:7">
      <c r="A32" s="106" t="s">
        <v>88</v>
      </c>
      <c r="B32" s="120">
        <v>76</v>
      </c>
      <c r="D32" s="100"/>
    </row>
    <row r="33" spans="1:7" ht="28.9">
      <c r="A33" s="107" t="s">
        <v>89</v>
      </c>
      <c r="B33" s="121">
        <v>74</v>
      </c>
      <c r="D33" s="100"/>
      <c r="E33" s="100"/>
      <c r="F33" s="108"/>
    </row>
    <row r="34" spans="1:7">
      <c r="A34" s="109"/>
      <c r="B34" s="122"/>
      <c r="F34" s="108"/>
      <c r="G34" s="108"/>
    </row>
    <row r="35" spans="1:7">
      <c r="A35" s="87" t="s">
        <v>90</v>
      </c>
      <c r="B35" s="126">
        <f>$B$28</f>
        <v>34479</v>
      </c>
    </row>
    <row r="36" spans="1:7">
      <c r="A36" s="106" t="s">
        <v>91</v>
      </c>
      <c r="B36" s="120">
        <v>68382</v>
      </c>
    </row>
    <row r="37" spans="1:7">
      <c r="A37" s="106" t="s">
        <v>92</v>
      </c>
      <c r="B37" s="120">
        <v>29137</v>
      </c>
    </row>
    <row r="38" spans="1:7">
      <c r="A38" s="106" t="s">
        <v>93</v>
      </c>
      <c r="B38" s="120">
        <v>90286</v>
      </c>
    </row>
    <row r="39" spans="1:7">
      <c r="A39" s="106" t="s">
        <v>94</v>
      </c>
      <c r="B39" s="120">
        <v>38935</v>
      </c>
    </row>
    <row r="40" spans="1:7">
      <c r="A40" s="106" t="s">
        <v>95</v>
      </c>
      <c r="B40" s="120">
        <v>90286</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106.11345891227828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61100.662019914649</v>
      </c>
      <c r="F4" s="21">
        <f>'Inputs &amp; Outputs'!G29*Annual_Days_of_Travel</f>
        <v>61423.945945945947</v>
      </c>
      <c r="H4" s="49">
        <v>2018</v>
      </c>
      <c r="I4" s="50">
        <f>'Inputs &amp; Outputs'!B28</f>
        <v>34479</v>
      </c>
      <c r="J4" s="50">
        <f>IF(H4=Year_Open_to_Traffic?,$F$4,0)</f>
        <v>0</v>
      </c>
      <c r="K4" s="50">
        <f>IF(H4=Year_Open_to_Traffic?,Calculations!$E$4,0)</f>
        <v>0</v>
      </c>
      <c r="L4" s="50">
        <f>IF(AND(H4&gt;=Year_Open_to_Traffic?, Calculations!H4&lt;Year_Open_to_Traffic?+'Inputs &amp; Outputs'!B$21), 1, 0)</f>
        <v>0</v>
      </c>
      <c r="M4" s="65" t="s">
        <v>111</v>
      </c>
      <c r="N4" s="66">
        <f>MIN(E8,1)</f>
        <v>0.50421163464069496</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-2.3761931662892088E-2</v>
      </c>
      <c r="F5" s="26"/>
      <c r="H5" s="14">
        <f t="shared" ref="H5:H36" si="3">H4+1</f>
        <v>2019</v>
      </c>
      <c r="I5" s="79">
        <f>(I4*M5)+I4</f>
        <v>33659.712358195145</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-2.3761931662892088E-2</v>
      </c>
      <c r="N5" s="71">
        <f t="shared" ref="N5:N11" si="6">N4*(1+IFERROR(_2018_2025_V_C_Growth,_2018_2045_V_C_Growth))</f>
        <v>0.47307369466059246</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1.4599788041073314E-2</v>
      </c>
      <c r="F6" s="26"/>
      <c r="H6" s="49">
        <f t="shared" si="3"/>
        <v>2020</v>
      </c>
      <c r="I6" s="79">
        <f t="shared" ref="I6:I36" si="10">(I5*M6)+I5</f>
        <v>32859.892573347111</v>
      </c>
      <c r="J6" s="50">
        <f t="shared" si="4"/>
        <v>0</v>
      </c>
      <c r="K6" s="50">
        <f>IF(H6=Year_Open_to_Traffic?,Calculations!$E$4,K5+(K5*M6))</f>
        <v>0</v>
      </c>
      <c r="L6" s="50">
        <f>IF(AND(H6&gt;=Year_Open_to_Traffic?, Calculations!H6&lt;Year_Open_to_Traffic?+'Inputs &amp; Outputs'!B$21), 1, 0)</f>
        <v>0</v>
      </c>
      <c r="M6" s="65">
        <f t="shared" si="5"/>
        <v>-2.3761931662892088E-2</v>
      </c>
      <c r="N6" s="71">
        <f t="shared" si="6"/>
        <v>0.44385869980827425</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4.5117454121288425E-3</v>
      </c>
      <c r="F7" s="26"/>
      <c r="H7" s="14">
        <f t="shared" si="3"/>
        <v>2021</v>
      </c>
      <c r="I7" s="79">
        <f t="shared" si="10"/>
        <v>32079.07805156926</v>
      </c>
      <c r="J7" s="50">
        <f t="shared" si="4"/>
        <v>0</v>
      </c>
      <c r="K7" s="50">
        <f>IF(H7=Year_Open_to_Traffic?,Calculations!$E$4,K6+(K6*M7))</f>
        <v>0</v>
      </c>
      <c r="L7" s="50">
        <f>IF(AND(H7&gt;=Year_Open_to_Traffic?, Calculations!H7&lt;Year_Open_to_Traffic?+'Inputs &amp; Outputs'!B$21), 1, 0)</f>
        <v>0</v>
      </c>
      <c r="M7" s="65">
        <f t="shared" si="5"/>
        <v>-2.3761931662892088E-2</v>
      </c>
      <c r="N7" s="71">
        <f t="shared" si="6"/>
        <v>0.41644789727071441</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0.50421163464069496</v>
      </c>
      <c r="F8" s="26"/>
      <c r="H8" s="49">
        <f t="shared" si="3"/>
        <v>2022</v>
      </c>
      <c r="I8" s="79">
        <f t="shared" si="10"/>
        <v>31316.81719109929</v>
      </c>
      <c r="J8" s="50">
        <f t="shared" si="4"/>
        <v>0</v>
      </c>
      <c r="K8" s="50">
        <f>IF(H8=Year_Open_to_Traffic?,Calculations!$E$4,K7+(K7*M8))</f>
        <v>0</v>
      </c>
      <c r="L8" s="50">
        <f>IF(AND(H8&gt;=Year_Open_to_Traffic?, Calculations!H8&lt;Year_Open_to_Traffic?+'Inputs &amp; Outputs'!B$21), 1, 0)</f>
        <v>0</v>
      </c>
      <c r="M8" s="65">
        <f t="shared" si="5"/>
        <v>-2.3761931662892088E-2</v>
      </c>
      <c r="N8" s="71">
        <f t="shared" si="6"/>
        <v>0.39072986789740172</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0.32271891544647013</v>
      </c>
      <c r="F9" s="26"/>
      <c r="H9" s="14">
        <f t="shared" si="3"/>
        <v>2023</v>
      </c>
      <c r="I9" s="79">
        <f t="shared" si="10"/>
        <v>30572.669121105104</v>
      </c>
      <c r="J9" s="50">
        <f t="shared" si="4"/>
        <v>0</v>
      </c>
      <c r="K9" s="50">
        <f>IF(H9=Year_Open_to_Traffic?,Calculations!$E$4,K8+(K8*M9))</f>
        <v>0</v>
      </c>
      <c r="L9" s="50">
        <f>IF(AND(H9&gt;=Year_Open_to_Traffic?, Calculations!H9&lt;Year_Open_to_Traffic?+'Inputs &amp; Outputs'!B$21), 1, 0)</f>
        <v>0</v>
      </c>
      <c r="M9" s="65">
        <f t="shared" si="5"/>
        <v>-2.3761931662892088E-2</v>
      </c>
      <c r="N9" s="71">
        <f t="shared" si="6"/>
        <v>0.36660007330491351</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0.43124072392175972</v>
      </c>
      <c r="F10" s="26"/>
      <c r="H10" s="49">
        <f t="shared" si="3"/>
        <v>2024</v>
      </c>
      <c r="I10" s="79">
        <f t="shared" si="10"/>
        <v>29846.203446697193</v>
      </c>
      <c r="J10" s="50">
        <f t="shared" si="4"/>
        <v>0</v>
      </c>
      <c r="K10" s="50">
        <f>IF(H10=Year_Open_to_Traffic?,Calculations!$E$4,K9+(K9*M10))</f>
        <v>0</v>
      </c>
      <c r="L10" s="50">
        <f>IF(AND(H10&gt;=Year_Open_to_Traffic?, Calculations!H10&lt;Year_Open_to_Traffic?+'Inputs &amp; Outputs'!B$21), 1, 0)</f>
        <v>0</v>
      </c>
      <c r="M10" s="65">
        <f t="shared" si="5"/>
        <v>-2.3761931662892088E-2</v>
      </c>
      <c r="N10" s="71">
        <f t="shared" si="6"/>
        <v>0.34396043095036111</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-6.1755695110628728E-2</v>
      </c>
      <c r="F11" s="26"/>
      <c r="H11" s="14">
        <f t="shared" si="3"/>
        <v>2025</v>
      </c>
      <c r="I11" s="79">
        <f t="shared" si="10"/>
        <v>29137</v>
      </c>
      <c r="J11" s="50">
        <f t="shared" si="4"/>
        <v>61423.945945945947</v>
      </c>
      <c r="K11" s="50">
        <f>IF(H11=Year_Open_to_Traffic?,Calculations!$E$4,K10+(K10*M11))</f>
        <v>61100.662019914649</v>
      </c>
      <c r="L11" s="50">
        <f>IF(AND(H11&gt;=Year_Open_to_Traffic?, Calculations!H11&lt;Year_Open_to_Traffic?+'Inputs &amp; Outputs'!B$21), 1, 0)</f>
        <v>1</v>
      </c>
      <c r="M11" s="65">
        <f t="shared" si="5"/>
        <v>-2.3761931662892088E-2</v>
      </c>
      <c r="N11" s="71">
        <f t="shared" si="6"/>
        <v>0.32271891544647013</v>
      </c>
      <c r="O11" s="72">
        <f t="shared" si="7"/>
        <v>1</v>
      </c>
      <c r="P11" s="68">
        <f t="shared" si="8"/>
        <v>323.2839260312976</v>
      </c>
      <c r="Q11" s="69">
        <f t="shared" si="0"/>
        <v>1</v>
      </c>
      <c r="R11" s="70">
        <f t="shared" si="1"/>
        <v>20.787565583925574</v>
      </c>
      <c r="S11" s="77">
        <f t="shared" si="2"/>
        <v>9.341197282300314</v>
      </c>
      <c r="T11" s="64">
        <f t="shared" si="9"/>
        <v>5.8172281964455648</v>
      </c>
      <c r="W11" s="58"/>
    </row>
    <row r="12" spans="1:24">
      <c r="A12" s="17" t="s">
        <v>55</v>
      </c>
      <c r="B12" s="18">
        <v>0.45</v>
      </c>
      <c r="D12" s="17" t="s">
        <v>123</v>
      </c>
      <c r="E12" s="39">
        <f>(E10/E9)^(1/(2045-2025))-1</f>
        <v>1.4599788041073314E-2</v>
      </c>
      <c r="F12" s="26"/>
      <c r="H12" s="49">
        <v>2026</v>
      </c>
      <c r="I12" s="79">
        <f t="shared" si="10"/>
        <v>29562.394024152753</v>
      </c>
      <c r="J12" s="50">
        <f t="shared" si="4"/>
        <v>62320.722537403104</v>
      </c>
      <c r="K12" s="50">
        <f>IF(H12=Year_Open_to_Traffic?,Calculations!$E$4,K11+(K11*M12))</f>
        <v>61992.718734574664</v>
      </c>
      <c r="L12" s="50">
        <f>IF(AND(H12&gt;=Year_Open_to_Traffic?, Calculations!H12&lt;Year_Open_to_Traffic?+'Inputs &amp; Outputs'!B$21), 1, 0)</f>
        <v>1</v>
      </c>
      <c r="M12" s="65">
        <f t="shared" ref="M12:M36" si="11">IFERROR(_2025_2045_Demand_Growth,_2018_2045_Demand_Growth)</f>
        <v>1.4599788041073314E-2</v>
      </c>
      <c r="N12" s="71">
        <f t="shared" ref="N12:N36" si="12">N11*(1+IFERROR(_2025_2045_V_C_Growth,_2018_2045_V_C_Growth))</f>
        <v>0.32743054320883364</v>
      </c>
      <c r="O12" s="72">
        <f t="shared" si="7"/>
        <v>1</v>
      </c>
      <c r="P12" s="68">
        <f t="shared" si="8"/>
        <v>328.0038028284398</v>
      </c>
      <c r="Q12" s="69">
        <f t="shared" si="0"/>
        <v>1</v>
      </c>
      <c r="R12" s="70">
        <f t="shared" si="1"/>
        <v>21.265679592355859</v>
      </c>
      <c r="S12" s="77">
        <f t="shared" si="2"/>
        <v>9.6955610486731754</v>
      </c>
      <c r="T12" s="64">
        <f t="shared" si="9"/>
        <v>5.6429048041939396</v>
      </c>
      <c r="W12" s="58"/>
    </row>
    <row r="13" spans="1:24">
      <c r="A13" s="17" t="s">
        <v>124</v>
      </c>
      <c r="B13" s="18">
        <v>0.43</v>
      </c>
      <c r="D13" s="17" t="s">
        <v>125</v>
      </c>
      <c r="E13" s="39">
        <f>(E10/E8)^(1/(2045-2018))-1</f>
        <v>-5.7732566871194768E-3</v>
      </c>
      <c r="F13" s="26"/>
      <c r="H13" s="14">
        <f t="shared" si="3"/>
        <v>2027</v>
      </c>
      <c r="I13" s="79">
        <f t="shared" si="10"/>
        <v>29993.998710892076</v>
      </c>
      <c r="J13" s="50">
        <f t="shared" si="4"/>
        <v>63230.59187701573</v>
      </c>
      <c r="K13" s="50">
        <f>IF(H13=Year_Open_to_Traffic?,Calculations!$E$4,K12+(K12*M13))</f>
        <v>62897.79928818933</v>
      </c>
      <c r="L13" s="50">
        <f>IF(AND(H13&gt;=Year_Open_to_Traffic?, Calculations!H13&lt;Year_Open_to_Traffic?+'Inputs &amp; Outputs'!B$21), 1, 0)</f>
        <v>1</v>
      </c>
      <c r="M13" s="65">
        <f t="shared" si="11"/>
        <v>1.4599788041073314E-2</v>
      </c>
      <c r="N13" s="71">
        <f t="shared" si="12"/>
        <v>0.33221095973785608</v>
      </c>
      <c r="O13" s="72">
        <f t="shared" si="7"/>
        <v>1</v>
      </c>
      <c r="P13" s="68">
        <f t="shared" si="8"/>
        <v>332.79258882639988</v>
      </c>
      <c r="Q13" s="69">
        <f t="shared" si="0"/>
        <v>1</v>
      </c>
      <c r="R13" s="70">
        <f t="shared" si="1"/>
        <v>21.754790222980041</v>
      </c>
      <c r="S13" s="77">
        <f t="shared" si="2"/>
        <v>10.063367811176285</v>
      </c>
      <c r="T13" s="64">
        <f t="shared" si="9"/>
        <v>5.4738053165339622</v>
      </c>
      <c r="W13" s="58"/>
    </row>
    <row r="14" spans="1:24">
      <c r="H14" s="49">
        <f>H13+1</f>
        <v>2028</v>
      </c>
      <c r="I14" s="79">
        <f t="shared" si="10"/>
        <v>30431.904734575328</v>
      </c>
      <c r="J14" s="50">
        <f t="shared" si="4"/>
        <v>64153.745116131773</v>
      </c>
      <c r="K14" s="50">
        <f>IF(H14=Year_Open_to_Traffic?,Calculations!$E$4,K13+(K13*M14))</f>
        <v>63816.093826046868</v>
      </c>
      <c r="L14" s="50">
        <f>IF(AND(H14&gt;=Year_Open_to_Traffic?, Calculations!H14&lt;Year_Open_to_Traffic?+'Inputs &amp; Outputs'!B$21), 1, 0)</f>
        <v>1</v>
      </c>
      <c r="M14" s="65">
        <f t="shared" si="11"/>
        <v>1.4599788041073314E-2</v>
      </c>
      <c r="N14" s="71">
        <f t="shared" si="12"/>
        <v>0.33706116933495034</v>
      </c>
      <c r="O14" s="72">
        <f t="shared" si="7"/>
        <v>1</v>
      </c>
      <c r="P14" s="68">
        <f t="shared" si="8"/>
        <v>337.65129008490476</v>
      </c>
      <c r="Q14" s="69">
        <f t="shared" si="0"/>
        <v>1</v>
      </c>
      <c r="R14" s="70">
        <f t="shared" si="1"/>
        <v>22.255150398108579</v>
      </c>
      <c r="S14" s="77">
        <f t="shared" si="2"/>
        <v>10.445127537707371</v>
      </c>
      <c r="T14" s="64">
        <f t="shared" si="9"/>
        <v>5.3097731900503904</v>
      </c>
      <c r="W14" s="58"/>
    </row>
    <row r="15" spans="1:24">
      <c r="H15" s="14">
        <f t="shared" si="3"/>
        <v>2029</v>
      </c>
      <c r="I15" s="79">
        <f t="shared" si="10"/>
        <v>30876.204093386263</v>
      </c>
      <c r="J15" s="50">
        <f t="shared" si="4"/>
        <v>65090.376196868339</v>
      </c>
      <c r="K15" s="50">
        <f>IF(H15=Year_Open_to_Traffic?,Calculations!$E$4,K14+(K14*M15))</f>
        <v>64747.795269516399</v>
      </c>
      <c r="L15" s="50">
        <f>IF(AND(H15&gt;=Year_Open_to_Traffic?, Calculations!H15&lt;Year_Open_to_Traffic?+'Inputs &amp; Outputs'!B$21), 1, 0)</f>
        <v>1</v>
      </c>
      <c r="M15" s="65">
        <f t="shared" si="11"/>
        <v>1.4599788041073314E-2</v>
      </c>
      <c r="N15" s="71">
        <f t="shared" si="12"/>
        <v>0.34198219096411692</v>
      </c>
      <c r="O15" s="72">
        <f t="shared" si="7"/>
        <v>1</v>
      </c>
      <c r="P15" s="68">
        <f t="shared" si="8"/>
        <v>342.58092735194077</v>
      </c>
      <c r="Q15" s="69">
        <f t="shared" si="0"/>
        <v>1</v>
      </c>
      <c r="R15" s="70">
        <f t="shared" si="1"/>
        <v>22.767018857265079</v>
      </c>
      <c r="S15" s="77">
        <f t="shared" si="2"/>
        <v>10.84136954209378</v>
      </c>
      <c r="T15" s="64">
        <f t="shared" si="9"/>
        <v>5.1506565724245439</v>
      </c>
      <c r="W15" s="58"/>
    </row>
    <row r="16" spans="1:24">
      <c r="H16" s="49">
        <f t="shared" si="3"/>
        <v>2030</v>
      </c>
      <c r="I16" s="79">
        <f t="shared" si="10"/>
        <v>31326.990128662623</v>
      </c>
      <c r="J16" s="50">
        <f t="shared" si="4"/>
        <v>66040.681892856344</v>
      </c>
      <c r="K16" s="50">
        <f>IF(H16=Year_Open_to_Traffic?,Calculations!$E$4,K15+(K15*M16))</f>
        <v>65693.099356578154</v>
      </c>
      <c r="L16" s="50">
        <f>IF(AND(H16&gt;=Year_Open_to_Traffic?, Calculations!H16&lt;Year_Open_to_Traffic?+'Inputs &amp; Outputs'!B$21), 1, 0)</f>
        <v>1</v>
      </c>
      <c r="M16" s="65">
        <f t="shared" si="11"/>
        <v>1.4599788041073314E-2</v>
      </c>
      <c r="N16" s="71">
        <f t="shared" si="12"/>
        <v>0.3469750584660149</v>
      </c>
      <c r="O16" s="72">
        <f t="shared" si="7"/>
        <v>1</v>
      </c>
      <c r="P16" s="68">
        <f t="shared" si="8"/>
        <v>347.58253627819067</v>
      </c>
      <c r="Q16" s="69">
        <f t="shared" si="0"/>
        <v>1</v>
      </c>
      <c r="R16" s="70">
        <f t="shared" si="1"/>
        <v>23.290660290982171</v>
      </c>
      <c r="S16" s="77">
        <f t="shared" si="2"/>
        <v>11.252643217991322</v>
      </c>
      <c r="T16" s="64">
        <f t="shared" si="9"/>
        <v>4.9963081618572991</v>
      </c>
      <c r="W16" s="58"/>
    </row>
    <row r="17" spans="1:23">
      <c r="A17" s="27"/>
      <c r="H17" s="14">
        <f t="shared" si="3"/>
        <v>2031</v>
      </c>
      <c r="I17" s="79">
        <f t="shared" si="10"/>
        <v>31784.357544505892</v>
      </c>
      <c r="J17" s="50">
        <f t="shared" si="4"/>
        <v>67004.861850579997</v>
      </c>
      <c r="K17" s="50">
        <f>IF(H17=Year_Open_to_Traffic?,Calculations!$E$4,K16+(K16*M17))</f>
        <v>66652.204682945361</v>
      </c>
      <c r="L17" s="50">
        <f>IF(AND(H17&gt;=Year_Open_to_Traffic?, Calculations!H17&lt;Year_Open_to_Traffic?+'Inputs &amp; Outputs'!B$21), 1, 0)</f>
        <v>1</v>
      </c>
      <c r="M17" s="65">
        <f t="shared" si="11"/>
        <v>1.4599788041073314E-2</v>
      </c>
      <c r="N17" s="71">
        <f t="shared" si="12"/>
        <v>0.35204082077515775</v>
      </c>
      <c r="O17" s="72">
        <f t="shared" si="7"/>
        <v>1</v>
      </c>
      <c r="P17" s="68">
        <f t="shared" si="8"/>
        <v>352.6571676346357</v>
      </c>
      <c r="Q17" s="69">
        <f t="shared" si="0"/>
        <v>1</v>
      </c>
      <c r="R17" s="70">
        <f t="shared" si="1"/>
        <v>23.82634547767476</v>
      </c>
      <c r="S17" s="77">
        <f t="shared" si="2"/>
        <v>11.679518800625118</v>
      </c>
      <c r="T17" s="64">
        <f t="shared" si="9"/>
        <v>4.8465850707051974</v>
      </c>
      <c r="W17" s="58"/>
    </row>
    <row r="18" spans="1:23">
      <c r="H18" s="49">
        <f t="shared" si="3"/>
        <v>2032</v>
      </c>
      <c r="I18" s="79">
        <f t="shared" si="10"/>
        <v>32248.402427677367</v>
      </c>
      <c r="J18" s="50">
        <f t="shared" si="4"/>
        <v>67983.11863131987</v>
      </c>
      <c r="K18" s="50">
        <f>IF(H18=Year_Open_to_Traffic?,Calculations!$E$4,K17+(K17*M18))</f>
        <v>67625.312743786591</v>
      </c>
      <c r="L18" s="50">
        <f>IF(AND(H18&gt;=Year_Open_to_Traffic?, Calculations!H18&lt;Year_Open_to_Traffic?+'Inputs &amp; Outputs'!B$21), 1, 0)</f>
        <v>1</v>
      </c>
      <c r="M18" s="65">
        <f t="shared" si="11"/>
        <v>1.4599788041073314E-2</v>
      </c>
      <c r="N18" s="71">
        <f t="shared" si="12"/>
        <v>0.35718054214028055</v>
      </c>
      <c r="O18" s="72">
        <f t="shared" si="7"/>
        <v>1</v>
      </c>
      <c r="P18" s="68">
        <f t="shared" si="8"/>
        <v>357.80588753327902</v>
      </c>
      <c r="Q18" s="69">
        <f t="shared" si="0"/>
        <v>1</v>
      </c>
      <c r="R18" s="70">
        <f t="shared" si="1"/>
        <v>24.374351423661277</v>
      </c>
      <c r="S18" s="77">
        <f t="shared" si="2"/>
        <v>12.122588157425723</v>
      </c>
      <c r="T18" s="64">
        <f t="shared" si="9"/>
        <v>4.7013486932021404</v>
      </c>
      <c r="W18" s="58"/>
    </row>
    <row r="19" spans="1:23">
      <c r="H19" s="14">
        <f t="shared" si="3"/>
        <v>2033</v>
      </c>
      <c r="I19" s="79">
        <f t="shared" si="10"/>
        <v>32719.222267784691</v>
      </c>
      <c r="J19" s="50">
        <f t="shared" si="4"/>
        <v>68975.657753708278</v>
      </c>
      <c r="K19" s="50">
        <f>IF(H19=Year_Open_to_Traffic?,Calculations!$E$4,K18+(K18*M19))</f>
        <v>68612.627976057163</v>
      </c>
      <c r="L19" s="50">
        <f>IF(AND(H19&gt;=Year_Open_to_Traffic?, Calculations!H19&lt;Year_Open_to_Traffic?+'Inputs &amp; Outputs'!B$21), 1, 0)</f>
        <v>1</v>
      </c>
      <c r="M19" s="65">
        <f t="shared" si="11"/>
        <v>1.4599788041073314E-2</v>
      </c>
      <c r="N19" s="71">
        <f t="shared" si="12"/>
        <v>0.36239530234792433</v>
      </c>
      <c r="O19" s="72">
        <f t="shared" si="7"/>
        <v>1</v>
      </c>
      <c r="P19" s="68">
        <f t="shared" si="8"/>
        <v>363.02977765111427</v>
      </c>
      <c r="Q19" s="69">
        <f t="shared" si="0"/>
        <v>1</v>
      </c>
      <c r="R19" s="70">
        <f t="shared" si="1"/>
        <v>24.934961506405479</v>
      </c>
      <c r="S19" s="77">
        <f t="shared" si="2"/>
        <v>12.58246560865917</v>
      </c>
      <c r="T19" s="64">
        <f t="shared" si="9"/>
        <v>4.5604645771453969</v>
      </c>
      <c r="W19" s="58"/>
    </row>
    <row r="20" spans="1:23">
      <c r="H20" s="49">
        <f t="shared" si="3"/>
        <v>2034</v>
      </c>
      <c r="I20" s="79">
        <f t="shared" si="10"/>
        <v>33196.915977763114</v>
      </c>
      <c r="J20" s="50">
        <f t="shared" si="4"/>
        <v>69982.687736906038</v>
      </c>
      <c r="K20" s="50">
        <f>IF(H20=Year_Open_to_Traffic?,Calculations!$E$4,K19+(K19*M20))</f>
        <v>69614.357801448612</v>
      </c>
      <c r="L20" s="50">
        <f>IF(AND(H20&gt;=Year_Open_to_Traffic?, Calculations!H20&lt;Year_Open_to_Traffic?+'Inputs &amp; Outputs'!B$21), 1, 0)</f>
        <v>1</v>
      </c>
      <c r="M20" s="65">
        <f t="shared" si="11"/>
        <v>1.4599788041073314E-2</v>
      </c>
      <c r="N20" s="71">
        <f t="shared" si="12"/>
        <v>0.36768619694928473</v>
      </c>
      <c r="O20" s="72">
        <f t="shared" si="7"/>
        <v>1</v>
      </c>
      <c r="P20" s="68">
        <f t="shared" si="8"/>
        <v>368.32993545742647</v>
      </c>
      <c r="Q20" s="69">
        <f t="shared" si="0"/>
        <v>1</v>
      </c>
      <c r="R20" s="70">
        <f t="shared" si="1"/>
        <v>25.508465621052807</v>
      </c>
      <c r="S20" s="77">
        <f t="shared" si="2"/>
        <v>13.059788779190303</v>
      </c>
      <c r="T20" s="64">
        <f t="shared" si="9"/>
        <v>4.4238022994275488</v>
      </c>
      <c r="W20" s="58"/>
    </row>
    <row r="21" spans="1:23">
      <c r="H21" s="14">
        <f t="shared" si="3"/>
        <v>2035</v>
      </c>
      <c r="I21" s="79">
        <f t="shared" si="10"/>
        <v>33681.583914655777</v>
      </c>
      <c r="J21" s="50">
        <f t="shared" si="4"/>
        <v>71004.420144409494</v>
      </c>
      <c r="K21" s="50">
        <f>IF(H21=Year_Open_to_Traffic?,Calculations!$E$4,K20+(K20*M21))</f>
        <v>70630.7126699652</v>
      </c>
      <c r="L21" s="50">
        <f>IF(AND(H21&gt;=Year_Open_to_Traffic?, Calculations!H21&lt;Year_Open_to_Traffic?+'Inputs &amp; Outputs'!B$21), 1, 0)</f>
        <v>1</v>
      </c>
      <c r="M21" s="65">
        <f t="shared" si="11"/>
        <v>1.4599788041073314E-2</v>
      </c>
      <c r="N21" s="71">
        <f t="shared" si="12"/>
        <v>0.37305433749037265</v>
      </c>
      <c r="O21" s="72">
        <f t="shared" si="7"/>
        <v>1</v>
      </c>
      <c r="P21" s="68">
        <f t="shared" si="8"/>
        <v>373.70747444429435</v>
      </c>
      <c r="Q21" s="69">
        <f t="shared" si="0"/>
        <v>1</v>
      </c>
      <c r="R21" s="70">
        <f t="shared" si="1"/>
        <v>26.095160330337016</v>
      </c>
      <c r="S21" s="77">
        <f t="shared" si="2"/>
        <v>13.555219482554167</v>
      </c>
      <c r="T21" s="64">
        <f t="shared" si="9"/>
        <v>4.2912353452968164</v>
      </c>
      <c r="W21" s="58"/>
    </row>
    <row r="22" spans="1:23">
      <c r="H22" s="49">
        <f>H21+1</f>
        <v>2036</v>
      </c>
      <c r="I22" s="79">
        <f t="shared" si="10"/>
        <v>34173.327900697375</v>
      </c>
      <c r="J22" s="50">
        <f t="shared" si="4"/>
        <v>72041.069628497193</v>
      </c>
      <c r="K22" s="50">
        <f>IF(H22=Year_Open_to_Traffic?,Calculations!$E$4,K21+(K21*M22))</f>
        <v>71661.906104136637</v>
      </c>
      <c r="L22" s="50">
        <f>IF(AND(H22&gt;=Year_Open_to_Traffic?, Calculations!H22&lt;Year_Open_to_Traffic?+'Inputs &amp; Outputs'!B$21), 1, 0)</f>
        <v>1</v>
      </c>
      <c r="M22" s="65">
        <f t="shared" si="11"/>
        <v>1.4599788041073314E-2</v>
      </c>
      <c r="N22" s="71">
        <f t="shared" si="12"/>
        <v>0.37850085174553511</v>
      </c>
      <c r="O22" s="72">
        <f t="shared" si="7"/>
        <v>1</v>
      </c>
      <c r="P22" s="68">
        <f t="shared" si="8"/>
        <v>379.16352436055604</v>
      </c>
      <c r="Q22" s="69">
        <f t="shared" si="0"/>
        <v>1</v>
      </c>
      <c r="R22" s="70">
        <f t="shared" si="1"/>
        <v>26.695349017934767</v>
      </c>
      <c r="S22" s="77">
        <f t="shared" si="2"/>
        <v>14.069444638568603</v>
      </c>
      <c r="T22" s="64">
        <f t="shared" si="9"/>
        <v>4.1626409912368203</v>
      </c>
      <c r="W22" s="58"/>
    </row>
    <row r="23" spans="1:23">
      <c r="H23" s="14">
        <f t="shared" si="3"/>
        <v>2037</v>
      </c>
      <c r="I23" s="79">
        <f t="shared" si="10"/>
        <v>34672.251244705651</v>
      </c>
      <c r="J23" s="50">
        <f t="shared" si="4"/>
        <v>73092.853975325459</v>
      </c>
      <c r="K23" s="50">
        <f>IF(H23=Year_Open_to_Traffic?,Calculations!$E$4,K22+(K22*M23))</f>
        <v>72708.154743876323</v>
      </c>
      <c r="L23" s="50">
        <f>IF(AND(H23&gt;=Year_Open_to_Traffic?, Calculations!H23&lt;Year_Open_to_Traffic?+'Inputs &amp; Outputs'!B$21), 1, 0)</f>
        <v>1</v>
      </c>
      <c r="M23" s="65">
        <f t="shared" si="11"/>
        <v>1.4599788041073314E-2</v>
      </c>
      <c r="N23" s="71">
        <f t="shared" si="12"/>
        <v>0.38402688395438561</v>
      </c>
      <c r="O23" s="72">
        <f t="shared" si="7"/>
        <v>1</v>
      </c>
      <c r="P23" s="68">
        <f t="shared" si="8"/>
        <v>384.69923144913628</v>
      </c>
      <c r="Q23" s="69">
        <f t="shared" si="0"/>
        <v>1</v>
      </c>
      <c r="R23" s="70">
        <f t="shared" si="1"/>
        <v>27.309342045347261</v>
      </c>
      <c r="S23" s="77">
        <f t="shared" si="2"/>
        <v>14.603177225755079</v>
      </c>
      <c r="T23" s="64">
        <f t="shared" si="9"/>
        <v>4.0379001913553925</v>
      </c>
      <c r="W23" s="58"/>
    </row>
    <row r="24" spans="1:23">
      <c r="H24" s="49">
        <f t="shared" si="3"/>
        <v>2038</v>
      </c>
      <c r="I24" s="79">
        <f t="shared" si="10"/>
        <v>35178.458763785195</v>
      </c>
      <c r="J24" s="50">
        <f t="shared" si="4"/>
        <v>74159.994150682338</v>
      </c>
      <c r="K24" s="50">
        <f>IF(H24=Year_Open_to_Traffic?,Calculations!$E$4,K23+(K23*M24))</f>
        <v>73769.678391994472</v>
      </c>
      <c r="L24" s="50">
        <f>IF(AND(H24&gt;=Year_Open_to_Traffic?, Calculations!H24&lt;Year_Open_to_Traffic?+'Inputs &amp; Outputs'!B$21), 1, 0)</f>
        <v>1</v>
      </c>
      <c r="M24" s="65">
        <f t="shared" si="11"/>
        <v>1.4599788041073314E-2</v>
      </c>
      <c r="N24" s="71">
        <f t="shared" si="12"/>
        <v>0.38963359506219353</v>
      </c>
      <c r="O24" s="72">
        <f t="shared" si="7"/>
        <v>1</v>
      </c>
      <c r="P24" s="68">
        <f>(J24-K24)*L24</f>
        <v>390.31575868786604</v>
      </c>
      <c r="Q24" s="69">
        <f t="shared" si="0"/>
        <v>1</v>
      </c>
      <c r="R24" s="70">
        <f t="shared" si="1"/>
        <v>27.93745691239025</v>
      </c>
      <c r="S24" s="77">
        <f t="shared" si="2"/>
        <v>15.15715726989114</v>
      </c>
      <c r="T24" s="64">
        <f t="shared" si="9"/>
        <v>3.916897467178249</v>
      </c>
      <c r="W24" s="58"/>
    </row>
    <row r="25" spans="1:23">
      <c r="H25" s="14">
        <f t="shared" si="3"/>
        <v>2039</v>
      </c>
      <c r="I25" s="79">
        <f t="shared" si="10"/>
        <v>35692.056805348097</v>
      </c>
      <c r="J25" s="50">
        <f t="shared" si="4"/>
        <v>75242.714346409542</v>
      </c>
      <c r="K25" s="50">
        <f>IF(H25=Year_Open_to_Traffic?,Calculations!$E$4,K24+(K24*M25))</f>
        <v>74846.700060375733</v>
      </c>
      <c r="L25" s="50">
        <f>IF(AND(H25&gt;=Year_Open_to_Traffic?, Calculations!H25&lt;Year_Open_to_Traffic?+'Inputs &amp; Outputs'!B$21), 1, 0)</f>
        <v>1</v>
      </c>
      <c r="M25" s="65">
        <f t="shared" si="11"/>
        <v>1.4599788041073314E-2</v>
      </c>
      <c r="N25" s="71">
        <f t="shared" si="12"/>
        <v>0.39532216296378292</v>
      </c>
      <c r="O25" s="72">
        <f t="shared" si="7"/>
        <v>1</v>
      </c>
      <c r="P25" s="68">
        <f t="shared" si="8"/>
        <v>396.01428603380919</v>
      </c>
      <c r="Q25" s="69">
        <f t="shared" si="0"/>
        <v>1</v>
      </c>
      <c r="R25" s="70">
        <f t="shared" si="1"/>
        <v>28.580018421375218</v>
      </c>
      <c r="S25" s="77">
        <f t="shared" si="2"/>
        <v>15.732152870063889</v>
      </c>
      <c r="T25" s="64">
        <f t="shared" si="9"/>
        <v>3.7995208007450958</v>
      </c>
      <c r="W25" s="58"/>
    </row>
    <row r="26" spans="1:23">
      <c r="H26" s="49">
        <f t="shared" si="3"/>
        <v>2040</v>
      </c>
      <c r="I26" s="79">
        <f t="shared" si="10"/>
        <v>36213.153269456125</v>
      </c>
      <c r="J26" s="50">
        <f t="shared" si="4"/>
        <v>76341.242027502143</v>
      </c>
      <c r="K26" s="50">
        <f>IF(H26=Year_Open_to_Traffic?,Calculations!$E$4,K25+(K25*M26))</f>
        <v>75939.446016831003</v>
      </c>
      <c r="L26" s="50">
        <f>IF(AND(H26&gt;=Year_Open_to_Traffic?, Calculations!H26&lt;Year_Open_to_Traffic?+'Inputs &amp; Outputs'!B$21), 1, 0)</f>
        <v>1</v>
      </c>
      <c r="M26" s="65">
        <f t="shared" si="11"/>
        <v>1.4599788041073314E-2</v>
      </c>
      <c r="N26" s="71">
        <f t="shared" si="12"/>
        <v>0.40109378275099278</v>
      </c>
      <c r="O26" s="72">
        <f t="shared" si="7"/>
        <v>1</v>
      </c>
      <c r="P26" s="68">
        <f t="shared" si="8"/>
        <v>401.79601067113981</v>
      </c>
      <c r="Q26" s="69">
        <f t="shared" si="0"/>
        <v>1</v>
      </c>
      <c r="R26" s="70">
        <f t="shared" si="1"/>
        <v>29.237358845066851</v>
      </c>
      <c r="S26" s="77">
        <f t="shared" si="2"/>
        <v>16.328961263646708</v>
      </c>
      <c r="T26" s="64">
        <f t="shared" si="9"/>
        <v>3.6856615309091372</v>
      </c>
      <c r="W26" s="58"/>
    </row>
    <row r="27" spans="1:23">
      <c r="H27" s="14">
        <f t="shared" si="3"/>
        <v>2041</v>
      </c>
      <c r="I27" s="79">
        <f t="shared" si="10"/>
        <v>36741.857631489082</v>
      </c>
      <c r="J27" s="50">
        <f t="shared" si="4"/>
        <v>77455.807979895952</v>
      </c>
      <c r="K27" s="50">
        <f>IF(H27=Year_Open_to_Traffic?,Calculations!$E$4,K26+(K26*M27))</f>
        <v>77048.145832633265</v>
      </c>
      <c r="L27" s="50">
        <f>IF(AND(H27&gt;=Year_Open_to_Traffic?, Calculations!H27&lt;Year_Open_to_Traffic?+'Inputs &amp; Outputs'!B$21), 1, 0)</f>
        <v>1</v>
      </c>
      <c r="M27" s="65">
        <f t="shared" si="11"/>
        <v>1.4599788041073314E-2</v>
      </c>
      <c r="N27" s="71">
        <f t="shared" si="12"/>
        <v>0.40694966696374957</v>
      </c>
      <c r="O27" s="72">
        <f t="shared" si="7"/>
        <v>1</v>
      </c>
      <c r="P27" s="68">
        <f t="shared" si="8"/>
        <v>407.66214726268663</v>
      </c>
      <c r="Q27" s="69">
        <f t="shared" si="0"/>
        <v>1</v>
      </c>
      <c r="R27" s="70">
        <f t="shared" si="1"/>
        <v>29.909818098503379</v>
      </c>
      <c r="S27" s="77">
        <f t="shared" si="2"/>
        <v>16.948409931678434</v>
      </c>
      <c r="T27" s="64">
        <f t="shared" si="9"/>
        <v>3.5752142527446051</v>
      </c>
      <c r="W27" s="58"/>
    </row>
    <row r="28" spans="1:23">
      <c r="H28" s="49">
        <f t="shared" si="3"/>
        <v>2042</v>
      </c>
      <c r="I28" s="79">
        <f t="shared" si="10"/>
        <v>37278.280965144113</v>
      </c>
      <c r="J28" s="50">
        <f t="shared" si="4"/>
        <v>78586.646358952508</v>
      </c>
      <c r="K28" s="50">
        <f>IF(H28=Year_Open_to_Traffic?,Calculations!$E$4,K27+(K27*M28))</f>
        <v>78173.032430747422</v>
      </c>
      <c r="L28" s="50">
        <f>IF(AND(H28&gt;=Year_Open_to_Traffic?, Calculations!H28&lt;Year_Open_to_Traffic?+'Inputs &amp; Outputs'!B$21), 1, 0)</f>
        <v>1</v>
      </c>
      <c r="M28" s="65">
        <f t="shared" si="11"/>
        <v>1.4599788041073314E-2</v>
      </c>
      <c r="N28" s="71">
        <f t="shared" si="12"/>
        <v>0.41289104584480568</v>
      </c>
      <c r="O28" s="72">
        <f t="shared" si="7"/>
        <v>1</v>
      </c>
      <c r="P28" s="68">
        <f t="shared" si="8"/>
        <v>413.61392820508627</v>
      </c>
      <c r="Q28" s="69">
        <f t="shared" si="0"/>
        <v>1</v>
      </c>
      <c r="R28" s="70">
        <f t="shared" si="1"/>
        <v>30.597743914768959</v>
      </c>
      <c r="S28" s="77">
        <f t="shared" si="2"/>
        <v>17.591357746173198</v>
      </c>
      <c r="T28" s="64">
        <f t="shared" si="9"/>
        <v>3.4680767199681224</v>
      </c>
      <c r="W28" s="58"/>
    </row>
    <row r="29" spans="1:23">
      <c r="H29" s="14">
        <f t="shared" si="3"/>
        <v>2043</v>
      </c>
      <c r="I29" s="79">
        <f t="shared" si="10"/>
        <v>37822.535965770796</v>
      </c>
      <c r="J29" s="50">
        <f t="shared" si="4"/>
        <v>79733.994738652007</v>
      </c>
      <c r="K29" s="50">
        <f>IF(H29=Year_Open_to_Traffic?,Calculations!$E$4,K28+(K28*M29))</f>
        <v>79314.342134764287</v>
      </c>
      <c r="L29" s="50">
        <f>IF(AND(H29&gt;=Year_Open_to_Traffic?, Calculations!H29&lt;Year_Open_to_Traffic?+'Inputs &amp; Outputs'!B$21), 1, 0)</f>
        <v>1</v>
      </c>
      <c r="M29" s="65">
        <f t="shared" si="11"/>
        <v>1.4599788041073314E-2</v>
      </c>
      <c r="N29" s="71">
        <f t="shared" si="12"/>
        <v>0.41891916759819692</v>
      </c>
      <c r="O29" s="72">
        <f t="shared" si="7"/>
        <v>1</v>
      </c>
      <c r="P29" s="68">
        <f t="shared" si="8"/>
        <v>419.65260388772003</v>
      </c>
      <c r="Q29" s="69">
        <f t="shared" si="0"/>
        <v>1</v>
      </c>
      <c r="R29" s="70">
        <f t="shared" si="1"/>
        <v>31.301492024808638</v>
      </c>
      <c r="S29" s="77">
        <f t="shared" si="2"/>
        <v>18.25869616095649</v>
      </c>
      <c r="T29" s="64">
        <f t="shared" si="9"/>
        <v>3.3641497502847066</v>
      </c>
      <c r="W29" s="58"/>
    </row>
    <row r="30" spans="1:23">
      <c r="H30" s="14">
        <f t="shared" si="3"/>
        <v>2044</v>
      </c>
      <c r="I30" s="79">
        <f t="shared" si="10"/>
        <v>38374.736974046922</v>
      </c>
      <c r="J30" s="50">
        <f t="shared" si="4"/>
        <v>80898.094161504385</v>
      </c>
      <c r="K30" s="50">
        <f>IF(H30=Year_Open_to_Traffic?,Calculations!$E$4,K29+(K29*M30))</f>
        <v>80472.314718549009</v>
      </c>
      <c r="L30" s="50">
        <f>IF(AND(H30&gt;=Year_Open_to_Traffic?, Calculations!H30&lt;Year_Open_to_Traffic?+'Inputs &amp; Outputs'!B$21), 1, 0)</f>
        <v>1</v>
      </c>
      <c r="M30" s="65">
        <f t="shared" si="11"/>
        <v>1.4599788041073314E-2</v>
      </c>
      <c r="N30" s="71">
        <f t="shared" si="12"/>
        <v>0.42503529865147344</v>
      </c>
      <c r="O30" s="72">
        <f t="shared" si="7"/>
        <v>1</v>
      </c>
      <c r="P30" s="68">
        <f t="shared" si="8"/>
        <v>425.779442955376</v>
      </c>
      <c r="Q30" s="69">
        <f t="shared" si="0"/>
        <v>1</v>
      </c>
      <c r="R30" s="70">
        <f t="shared" si="1"/>
        <v>32.021426341379232</v>
      </c>
      <c r="S30" s="77">
        <f t="shared" si="2"/>
        <v>18.951350447673985</v>
      </c>
      <c r="T30" s="64">
        <f t="shared" si="9"/>
        <v>3.2633371335697747</v>
      </c>
      <c r="W30" s="58"/>
    </row>
    <row r="31" spans="1:23">
      <c r="H31" s="14">
        <f t="shared" si="3"/>
        <v>2045</v>
      </c>
      <c r="I31" s="79">
        <f t="shared" si="10"/>
        <v>38934.999999999949</v>
      </c>
      <c r="J31" s="50">
        <f t="shared" si="4"/>
        <v>82079.189189189143</v>
      </c>
      <c r="K31" s="50">
        <f>IF(H31=Year_Open_to_Traffic?,Calculations!$E$4,K30+(K30*M31))</f>
        <v>81647.193456614375</v>
      </c>
      <c r="L31" s="50">
        <f>IF(AND(H31&gt;=Year_Open_to_Traffic?, Calculations!H31&lt;Year_Open_to_Traffic?+'Inputs &amp; Outputs'!B$21), 1, 0)</f>
        <v>1</v>
      </c>
      <c r="M31" s="65">
        <f t="shared" si="11"/>
        <v>1.4599788041073314E-2</v>
      </c>
      <c r="N31" s="71">
        <f t="shared" si="12"/>
        <v>0.43124072392175922</v>
      </c>
      <c r="O31" s="72">
        <f t="shared" si="7"/>
        <v>1</v>
      </c>
      <c r="P31" s="68">
        <f t="shared" si="8"/>
        <v>431.99573257476732</v>
      </c>
      <c r="Q31" s="69">
        <f t="shared" si="0"/>
        <v>1</v>
      </c>
      <c r="R31" s="70">
        <f t="shared" si="1"/>
        <v>32.757919147230957</v>
      </c>
      <c r="S31" s="77">
        <f t="shared" si="2"/>
        <v>19.670280978689917</v>
      </c>
      <c r="T31" s="64">
        <f t="shared" si="9"/>
        <v>3.165545542802839</v>
      </c>
      <c r="W31" s="58"/>
    </row>
    <row r="32" spans="1:23">
      <c r="H32" s="14">
        <f t="shared" si="3"/>
        <v>2046</v>
      </c>
      <c r="I32" s="79">
        <f t="shared" si="10"/>
        <v>39503.442747379137</v>
      </c>
      <c r="J32" s="50">
        <f t="shared" si="4"/>
        <v>83277.527953934463</v>
      </c>
      <c r="K32" s="50">
        <f>IF(H32=Year_Open_to_Traffic?,Calculations!$E$4,K31+(K31*M32))</f>
        <v>82839.225175229454</v>
      </c>
      <c r="L32" s="50">
        <f>IF(AND(H32&gt;=Year_Open_to_Traffic?, Calculations!H32&lt;Year_Open_to_Traffic?+'Inputs &amp; Outputs'!B$21), 1, 0)</f>
        <v>1</v>
      </c>
      <c r="M32" s="65">
        <f t="shared" si="11"/>
        <v>1.4599788041073314E-2</v>
      </c>
      <c r="N32" s="71">
        <f t="shared" si="12"/>
        <v>0.4375367470856959</v>
      </c>
      <c r="O32" s="72">
        <f t="shared" si="7"/>
        <v>1</v>
      </c>
      <c r="P32" s="68">
        <f t="shared" si="8"/>
        <v>438.30277870500868</v>
      </c>
      <c r="Q32" s="69">
        <f t="shared" si="0"/>
        <v>1</v>
      </c>
      <c r="R32" s="70">
        <f t="shared" si="1"/>
        <v>33.511351287617266</v>
      </c>
      <c r="S32" s="77">
        <f t="shared" si="2"/>
        <v>20.416484558656023</v>
      </c>
      <c r="T32" s="64">
        <f t="shared" si="9"/>
        <v>3.070684447670716</v>
      </c>
      <c r="W32" s="58"/>
    </row>
    <row r="33" spans="8:23">
      <c r="H33" s="14">
        <f t="shared" si="3"/>
        <v>2047</v>
      </c>
      <c r="I33" s="79">
        <f t="shared" si="10"/>
        <v>40080.184638383544</v>
      </c>
      <c r="J33" s="50">
        <f t="shared" si="4"/>
        <v>84493.362210646461</v>
      </c>
      <c r="K33" s="50">
        <f>IF(H33=Year_Open_to_Traffic?,Calculations!$E$4,K32+(K32*M33))</f>
        <v>84048.660304274556</v>
      </c>
      <c r="L33" s="50">
        <f>IF(AND(H33&gt;=Year_Open_to_Traffic?, Calculations!H33&lt;Year_Open_to_Traffic?+'Inputs &amp; Outputs'!B$21), 1, 0)</f>
        <v>1</v>
      </c>
      <c r="M33" s="65">
        <f t="shared" si="11"/>
        <v>1.4599788041073314E-2</v>
      </c>
      <c r="N33" s="71">
        <f t="shared" si="12"/>
        <v>0.44392469085332775</v>
      </c>
      <c r="O33" s="72">
        <f t="shared" si="7"/>
        <v>1</v>
      </c>
      <c r="P33" s="68">
        <f t="shared" si="8"/>
        <v>444.70190637190535</v>
      </c>
      <c r="Q33" s="69">
        <f t="shared" si="0"/>
        <v>1</v>
      </c>
      <c r="R33" s="70">
        <f t="shared" si="1"/>
        <v>34.282112367232457</v>
      </c>
      <c r="S33" s="77">
        <f t="shared" si="2"/>
        <v>21.190995806588163</v>
      </c>
      <c r="T33" s="64">
        <f t="shared" si="9"/>
        <v>2.9786660307587427</v>
      </c>
      <c r="W33" s="58"/>
    </row>
    <row r="34" spans="8:23">
      <c r="H34" s="14">
        <f t="shared" si="3"/>
        <v>2048</v>
      </c>
      <c r="I34" s="79">
        <f t="shared" si="10"/>
        <v>40665.346838751029</v>
      </c>
      <c r="J34" s="50">
        <f t="shared" si="4"/>
        <v>85726.947389799534</v>
      </c>
      <c r="K34" s="50">
        <f>IF(H34=Year_Open_to_Traffic?,Calculations!$E$4,K33+(K33*M34))</f>
        <v>85275.75292985313</v>
      </c>
      <c r="L34" s="50">
        <f>IF(AND(H34&gt;=Year_Open_to_Traffic?, Calculations!H34&lt;Year_Open_to_Traffic?+'Inputs &amp; Outputs'!B$21), 1, 0)</f>
        <v>1</v>
      </c>
      <c r="M34" s="65">
        <f t="shared" si="11"/>
        <v>1.4599788041073314E-2</v>
      </c>
      <c r="N34" s="71">
        <f t="shared" si="12"/>
        <v>0.45040589724598534</v>
      </c>
      <c r="O34" s="72">
        <f t="shared" si="7"/>
        <v>1</v>
      </c>
      <c r="P34" s="68">
        <f t="shared" si="8"/>
        <v>451.19445994640409</v>
      </c>
      <c r="Q34" s="69">
        <f t="shared" si="0"/>
        <v>1</v>
      </c>
      <c r="R34" s="70">
        <f t="shared" si="1"/>
        <v>35.070600951678806</v>
      </c>
      <c r="S34" s="77">
        <f t="shared" si="2"/>
        <v>21.994888590380103</v>
      </c>
      <c r="T34" s="64">
        <f t="shared" si="9"/>
        <v>2.8894051062546136</v>
      </c>
      <c r="W34" s="58"/>
    </row>
    <row r="35" spans="8:23">
      <c r="H35" s="14">
        <f t="shared" si="3"/>
        <v>2049</v>
      </c>
      <c r="I35" s="79">
        <f t="shared" si="10"/>
        <v>41259.052283213525</v>
      </c>
      <c r="J35" s="50">
        <f t="shared" si="4"/>
        <v>86978.542651098847</v>
      </c>
      <c r="K35" s="50">
        <f>IF(H35=Year_Open_to_Traffic?,Calculations!$E$4,K34+(K34*M35))</f>
        <v>86520.760847671918</v>
      </c>
      <c r="L35" s="50">
        <f>IF(AND(H35&gt;=Year_Open_to_Traffic?, Calculations!H35&lt;Year_Open_to_Traffic?+'Inputs &amp; Outputs'!B$21), 1, 0)</f>
        <v>1</v>
      </c>
      <c r="M35" s="65">
        <f t="shared" si="11"/>
        <v>1.4599788041073314E-2</v>
      </c>
      <c r="N35" s="71">
        <f t="shared" si="12"/>
        <v>0.45698172787822616</v>
      </c>
      <c r="O35" s="72">
        <f t="shared" si="7"/>
        <v>1</v>
      </c>
      <c r="P35" s="68">
        <f t="shared" si="8"/>
        <v>457.7818034269294</v>
      </c>
      <c r="Q35" s="69">
        <f t="shared" si="0"/>
        <v>1</v>
      </c>
      <c r="R35" s="70">
        <f t="shared" si="1"/>
        <v>35.877224773567399</v>
      </c>
      <c r="S35" s="77">
        <f t="shared" si="2"/>
        <v>22.829277515727821</v>
      </c>
      <c r="T35" s="64">
        <f t="shared" si="9"/>
        <v>2.8028190410871581</v>
      </c>
      <c r="W35" s="58"/>
    </row>
    <row r="36" spans="8:23">
      <c r="H36" s="14">
        <f t="shared" si="3"/>
        <v>2050</v>
      </c>
      <c r="I36" s="79">
        <f t="shared" si="10"/>
        <v>41861.425701324006</v>
      </c>
      <c r="J36" s="50">
        <f t="shared" si="4"/>
        <v>88248.410937926339</v>
      </c>
      <c r="K36" s="50">
        <f>IF(H36=Year_Open_to_Traffic?,Calculations!$E$4,K35+(K35*M36))</f>
        <v>87783.945617200327</v>
      </c>
      <c r="L36" s="50">
        <f>IF(AND(H36&gt;=Year_Open_to_Traffic?, Calculations!H36&lt;Year_Open_to_Traffic?+'Inputs &amp; Outputs'!B$21), 1, 0)</f>
        <v>1</v>
      </c>
      <c r="M36" s="65">
        <f t="shared" si="11"/>
        <v>1.4599788041073314E-2</v>
      </c>
      <c r="N36" s="71">
        <f t="shared" si="12"/>
        <v>0.4636535642438917</v>
      </c>
      <c r="O36" s="72">
        <f t="shared" si="7"/>
        <v>1</v>
      </c>
      <c r="P36" s="68">
        <f t="shared" si="8"/>
        <v>464.46532072601258</v>
      </c>
      <c r="Q36" s="69">
        <f t="shared" si="0"/>
        <v>1</v>
      </c>
      <c r="R36" s="70">
        <f t="shared" si="1"/>
        <v>36.702400943359457</v>
      </c>
      <c r="S36" s="77">
        <f t="shared" si="2"/>
        <v>23.6953194715453</v>
      </c>
      <c r="T36" s="64">
        <f t="shared" si="9"/>
        <v>2.7188276784294909</v>
      </c>
      <c r="W36" s="58"/>
    </row>
    <row r="37" spans="8:23">
      <c r="H37" s="44"/>
      <c r="I37" s="44"/>
      <c r="J37" s="44"/>
      <c r="K37" s="44"/>
      <c r="L37" s="44"/>
      <c r="M37" s="60"/>
      <c r="N37" s="61"/>
      <c r="O37" s="44"/>
      <c r="P37" s="44"/>
      <c r="Q37" s="44"/>
      <c r="R37" s="44"/>
      <c r="S37" s="59"/>
      <c r="T37" s="64">
        <f>SUM(T4:T36)</f>
        <v>106.11345891227828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AE945F-EFF7-46C7-A5A8-9418CC1121B3}"/>
</file>

<file path=customXml/itemProps2.xml><?xml version="1.0" encoding="utf-8"?>
<ds:datastoreItem xmlns:ds="http://schemas.openxmlformats.org/officeDocument/2006/customXml" ds:itemID="{1F7A7087-4F71-4BD8-A6C5-03B1B0EEE242}"/>
</file>

<file path=customXml/itemProps3.xml><?xml version="1.0" encoding="utf-8"?>
<ds:datastoreItem xmlns:ds="http://schemas.openxmlformats.org/officeDocument/2006/customXml" ds:itemID="{BD585AF8-E2EE-4043-B984-DE46A165751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