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9_IH10/"/>
    </mc:Choice>
  </mc:AlternateContent>
  <xr:revisionPtr revIDLastSave="15" documentId="8_{2D740590-F866-497A-9624-164679CDF034}" xr6:coauthVersionLast="40" xr6:coauthVersionMax="40" xr10:uidLastSave="{EDFDF777-E9DA-4AFA-B94D-6E3719A0206A}"/>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0" i="12"/>
  <c r="B9" i="12"/>
  <c r="O5" i="12"/>
  <c r="N5" i="12"/>
  <c r="O6" i="12"/>
  <c r="N6" i="12"/>
  <c r="O7" i="12"/>
  <c r="N7" i="12"/>
  <c r="O8" i="12"/>
  <c r="N8" i="12"/>
  <c r="O9" i="12"/>
  <c r="N9" i="12"/>
  <c r="O10" i="12"/>
  <c r="N10" i="12"/>
  <c r="O11" i="12"/>
  <c r="N11" i="12"/>
  <c r="B11"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24" i="12"/>
  <c r="O17" i="12"/>
  <c r="O28" i="12"/>
  <c r="O20" i="12"/>
  <c r="O29" i="12"/>
  <c r="O21" i="12"/>
  <c r="O13" i="12"/>
  <c r="O16" i="12"/>
  <c r="O27" i="12"/>
  <c r="O25" i="12"/>
  <c r="O26" i="12"/>
  <c r="O18" i="12"/>
  <c r="O19" i="12"/>
  <c r="O12" i="12"/>
  <c r="O22" i="12"/>
  <c r="O14" i="12"/>
  <c r="O23" i="12"/>
  <c r="B15" i="12"/>
  <c r="M5" i="12"/>
  <c r="S5" i="12"/>
  <c r="P5" i="12"/>
  <c r="Q5" i="12"/>
  <c r="R5" i="12"/>
  <c r="P6" i="12"/>
  <c r="Q6" i="12"/>
  <c r="R6"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G24" i="7"/>
  <c r="H23" i="7"/>
  <c r="I23" i="7"/>
  <c r="J23" i="7"/>
  <c r="S25" i="12"/>
  <c r="P26" i="12"/>
  <c r="Q25" i="12"/>
  <c r="M26" i="12"/>
  <c r="H24" i="7"/>
  <c r="I24" i="7"/>
  <c r="J24" i="7"/>
  <c r="G25" i="7"/>
  <c r="S26" i="12"/>
  <c r="P27" i="12"/>
  <c r="Q26" i="12"/>
  <c r="M27" i="12"/>
  <c r="H25" i="7"/>
  <c r="I25" i="7"/>
  <c r="J25" i="7"/>
  <c r="G26" i="7"/>
  <c r="S27" i="12"/>
  <c r="P28" i="12"/>
  <c r="Q27" i="12"/>
  <c r="M2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S35" i="12"/>
  <c r="P35" i="12"/>
  <c r="Q35" i="12"/>
  <c r="S36" i="12"/>
  <c r="P36" i="12"/>
  <c r="Q36"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E4" i="12"/>
  <c r="E5" i="12"/>
  <c r="E6" i="12"/>
  <c r="R7" i="12"/>
  <c r="T6" i="12"/>
  <c r="U6" i="12"/>
  <c r="T5" i="12"/>
  <c r="U5" i="12"/>
  <c r="T7" i="12"/>
  <c r="U7" i="12"/>
  <c r="R8" i="12"/>
  <c r="T8" i="12"/>
  <c r="U8" i="12"/>
  <c r="R9" i="12"/>
  <c r="T9" i="12"/>
  <c r="U9" i="12"/>
  <c r="R10" i="12"/>
  <c r="T10" i="12"/>
  <c r="U10" i="12"/>
  <c r="E19" i="12"/>
  <c r="F26" i="12"/>
  <c r="E17" i="12"/>
  <c r="D26" i="12"/>
  <c r="E22" i="12"/>
  <c r="I26" i="12"/>
  <c r="E21" i="12"/>
  <c r="H26" i="12"/>
  <c r="E20" i="12"/>
  <c r="G26" i="12"/>
  <c r="E18" i="12"/>
  <c r="E26" i="12"/>
  <c r="G33" i="12"/>
  <c r="G30" i="12"/>
  <c r="G28" i="12"/>
  <c r="G31" i="12"/>
  <c r="G29" i="12"/>
  <c r="G27" i="12"/>
  <c r="G32" i="12"/>
  <c r="E30" i="12"/>
  <c r="E29" i="12"/>
  <c r="E31" i="12"/>
  <c r="E27" i="12"/>
  <c r="E32" i="12"/>
  <c r="E33" i="12"/>
  <c r="E28" i="12"/>
  <c r="H32" i="12"/>
  <c r="H27" i="12"/>
  <c r="H30" i="12"/>
  <c r="H33" i="12"/>
  <c r="H31" i="12"/>
  <c r="H28" i="12"/>
  <c r="H29" i="12"/>
  <c r="D28" i="12"/>
  <c r="F28" i="12"/>
  <c r="I28" i="12"/>
  <c r="J28" i="12"/>
  <c r="D30" i="12"/>
  <c r="F30" i="12"/>
  <c r="I30" i="12"/>
  <c r="J30" i="12"/>
  <c r="D33" i="12"/>
  <c r="F33" i="12"/>
  <c r="I33" i="12"/>
  <c r="J33" i="12"/>
  <c r="D29" i="12"/>
  <c r="F29" i="12"/>
  <c r="I29" i="12"/>
  <c r="J29" i="12"/>
  <c r="D31" i="12"/>
  <c r="F31" i="12"/>
  <c r="I31" i="12"/>
  <c r="J31" i="12"/>
  <c r="D27" i="12"/>
  <c r="F27" i="12"/>
  <c r="I27" i="12"/>
  <c r="J27" i="12"/>
  <c r="D32" i="12"/>
  <c r="F32" i="12"/>
  <c r="I32" i="12"/>
  <c r="J32" i="12"/>
  <c r="J5" i="12"/>
  <c r="R11" i="12"/>
  <c r="T11" i="12"/>
  <c r="U11" i="12"/>
  <c r="R12" i="12"/>
  <c r="T12" i="12"/>
  <c r="U12" i="12"/>
  <c r="R13" i="12"/>
  <c r="T13" i="12"/>
  <c r="U13" i="12"/>
  <c r="R14" i="12"/>
  <c r="T14" i="12"/>
  <c r="U14" i="12"/>
  <c r="R15" i="12"/>
  <c r="T15" i="12"/>
  <c r="U15" i="12"/>
  <c r="R16" i="12"/>
  <c r="T16" i="12"/>
  <c r="U16" i="12"/>
  <c r="R17" i="12"/>
  <c r="T17" i="12"/>
  <c r="U17" i="12"/>
  <c r="R18" i="12"/>
  <c r="T18" i="12"/>
  <c r="U18" i="12"/>
  <c r="R19" i="12"/>
  <c r="T19" i="12"/>
  <c r="U19" i="12"/>
  <c r="R20" i="12"/>
  <c r="T20" i="12"/>
  <c r="U20" i="12"/>
  <c r="R21" i="12"/>
  <c r="T21" i="12"/>
  <c r="U21" i="12"/>
  <c r="R22" i="12"/>
  <c r="T22" i="12"/>
  <c r="U22" i="12"/>
  <c r="R23" i="12"/>
  <c r="T23" i="12"/>
  <c r="U23" i="12"/>
  <c r="R24" i="12"/>
  <c r="T24" i="12"/>
  <c r="U24" i="12"/>
  <c r="R25" i="12"/>
  <c r="T25" i="12"/>
  <c r="U25" i="12"/>
  <c r="R26" i="12"/>
  <c r="T26" i="12"/>
  <c r="U26" i="12"/>
  <c r="R27"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<sst xmlns="http://schemas.openxmlformats.org/spreadsheetml/2006/main" count="441" uniqueCount="286">
  <si>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</si>
  <si>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</si>
  <si>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</si>
  <si>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</si>
  <si>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</si>
  <si>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</si>
  <si>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</si>
  <si>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</si>
  <si>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</si>
  <si>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</si>
  <si>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</si>
  <si>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</si>
  <si>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</si>
  <si>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</si>
  <si>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</si>
  <si>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</si>
  <si>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</si>
  <si>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</si>
  <si>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</si>
  <si>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</si>
  <si>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</si>
  <si>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</si>
  <si>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</si>
  <si>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</si>
  <si>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</si>
  <si>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</si>
  <si>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</si>
  <si>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</si>
  <si>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</si>
  <si>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</si>
  <si>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</si>
  <si>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</si>
  <si>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</si>
  <si>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</si>
  <si>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</si>
  <si>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</si>
  <si>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</si>
  <si>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</si>
  <si>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</si>
  <si>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</si>
  <si>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</si>
  <si>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</si>
  <si>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</si>
  <si>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</si>
  <si>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</si>
  <si>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</si>
  <si>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</si>
  <si>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</si>
  <si>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IH 10/Oak Island Rd Overpass Reversal</t>
  </si>
  <si>
    <t>County</t>
  </si>
  <si>
    <t>Chambers</t>
  </si>
  <si>
    <t>Data entered by the sponsors</t>
  </si>
  <si>
    <t>Facility Type</t>
  </si>
  <si>
    <t xml:space="preserve">Freeway </t>
  </si>
  <si>
    <t>HGAC regional travel demand model data provided by HGAC upon request</t>
  </si>
  <si>
    <t>Street Name:</t>
  </si>
  <si>
    <t>IH 10</t>
  </si>
  <si>
    <t>Populated based on selection in cell "C18"</t>
  </si>
  <si>
    <t>Limits (From)</t>
  </si>
  <si>
    <t>At Oak Island Rd.</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</si>
  <si>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</si>
  <si>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</si>
  <si>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</si>
  <si>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</si>
  <si>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</si>
  <si>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</si>
  <si>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</si>
  <si>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</si>
  <si>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</si>
  <si>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</si>
  <si>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</si>
  <si>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</si>
  <si>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</si>
  <si>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</si>
  <si>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</si>
  <si>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</si>
  <si>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</si>
  <si>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</si>
  <si>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</si>
  <si>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</si>
  <si>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</si>
  <si>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</si>
  <si>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</si>
  <si>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</si>
  <si>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</si>
  <si>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</si>
  <si>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</si>
  <si>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</si>
  <si>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</si>
  <si>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</si>
  <si>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</si>
  <si>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</si>
  <si>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</si>
  <si>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</si>
  <si>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</si>
  <si>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</si>
  <si>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</si>
  <si>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</si>
  <si>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</si>
  <si>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</si>
  <si>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</si>
  <si>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</si>
  <si>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</si>
  <si>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</si>
  <si>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</si>
  <si>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</si>
  <si>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</si>
  <si>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</si>
  <si>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</si>
  <si>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</si>
  <si>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</si>
  <si>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</si>
  <si>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</si>
  <si>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</si>
  <si>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</si>
  <si>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</si>
  <si>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</si>
  <si>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</si>
  <si>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</si>
  <si>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</si>
  <si>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</si>
  <si>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</si>
  <si>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</si>
  <si>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</si>
  <si>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</si>
  <si>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</si>
  <si>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</si>
  <si>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</si>
  <si>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</si>
  <si>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</si>
  <si>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</si>
  <si>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</si>
  <si>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</si>
  <si>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</si>
  <si>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</si>
  <si>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</si>
  <si>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</si>
  <si>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</si>
  <si>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</si>
  <si>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</si>
  <si>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</si>
  <si>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</si>
  <si>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</si>
  <si>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</si>
  <si>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</si>
  <si>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</si>
  <si>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</si>
  <si>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</si>
  <si>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</si>
  <si>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</si>
  <si>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</si>
  <si>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</si>
  <si>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</si>
  <si>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</si>
  <si>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</si>
  <si>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</si>
  <si>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</si>
  <si>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</si>
  <si>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</si>
  <si>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</si>
  <si>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</si>
  <si>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</si>
  <si>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</si>
  <si>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</si>
  <si>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Non-Freeway</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</si>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</sst>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0" fillId="2" borderId="1" xfId="0" applyFill="1" applyBorder="1" applyAlignment="1" applyProtection="1">
      <alignment horizontal="left" wrapText="1"/>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1" t="s">
        <v>3</v>
      </c>
      <c r="H3" s="131"/>
      <c r="I3" s="131" t="s">
        <v>4</v>
      </c>
      <c r="J3" s="131"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2" t="s">
        <v>11</v>
      </c>
      <c r="E6" s="133"/>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1" t="s">
        <v>3</v>
      </c>
      <c r="H3" s="131" t="s">
        <v>31</v>
      </c>
      <c r="I3" s="131" t="s">
        <v>32</v>
      </c>
      <c r="J3" s="131" t="s">
        <v>33</v>
      </c>
      <c r="K3" s="131"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2" t="s">
        <v>11</v>
      </c>
      <c r="E6" s="133"/>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2" t="s">
        <v>37</v>
      </c>
      <c r="E8" s="133"/>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ht="28.9">
      <c r="B6" s="3" t="s">
        <v>47</v>
      </c>
      <c r="C6" s="130"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1</v>
      </c>
      <c r="D12" s="79"/>
      <c r="N12" s="134"/>
      <c r="O12" s="134"/>
      <c r="P12" s="134"/>
      <c r="Q12" s="134"/>
      <c r="R12" s="134"/>
      <c r="S12" s="134"/>
    </row>
    <row r="13" spans="2:19">
      <c r="B13" s="3" t="s">
        <v>64</v>
      </c>
      <c r="C13" s="97">
        <v>247</v>
      </c>
      <c r="D13" s="53"/>
    </row>
    <row r="14" spans="2:19">
      <c r="B14" s="3" t="s">
        <v>65</v>
      </c>
      <c r="C14" s="97" t="s">
        <v>66</v>
      </c>
      <c r="D14" s="53"/>
      <c r="G14" s="90"/>
    </row>
    <row r="15" spans="2:19">
      <c r="C15" s="53"/>
      <c r="D15" s="53"/>
    </row>
    <row r="16" spans="2:19">
      <c r="B16" s="5" t="s">
        <v>67</v>
      </c>
    </row>
    <row r="17" spans="2:13">
      <c r="B17" s="3" t="s">
        <v>68</v>
      </c>
      <c r="C17" s="97">
        <v>2025</v>
      </c>
      <c r="D17" s="80"/>
    </row>
    <row r="18" spans="2:13" ht="15">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77496</v>
      </c>
      <c r="D25" s="82"/>
      <c r="I25" s="41"/>
    </row>
    <row r="26" spans="2:13">
      <c r="I26" s="41"/>
    </row>
    <row r="27" spans="2:13">
      <c r="B27" s="73" t="s">
        <v>76</v>
      </c>
      <c r="C27" s="74">
        <v>30985</v>
      </c>
      <c r="D27" s="82"/>
      <c r="I27" s="41"/>
    </row>
    <row r="28" spans="2:13">
      <c r="B28" s="73" t="s">
        <v>77</v>
      </c>
      <c r="C28" s="74">
        <v>90286</v>
      </c>
      <c r="D28" s="82"/>
      <c r="I28" s="41"/>
    </row>
    <row r="29" spans="2:13">
      <c r="B29" s="73" t="s">
        <v>78</v>
      </c>
      <c r="C29" s="75">
        <v>36766</v>
      </c>
      <c r="D29" s="58"/>
      <c r="I29" s="41"/>
    </row>
    <row r="30" spans="2:13">
      <c r="B30" s="73" t="s">
        <v>79</v>
      </c>
      <c r="C30" s="75">
        <v>90286</v>
      </c>
      <c r="D30" s="58"/>
      <c r="I30" s="41"/>
    </row>
    <row r="31" spans="2:13">
      <c r="B31" s="73" t="s">
        <v>80</v>
      </c>
      <c r="C31" s="74">
        <v>50545</v>
      </c>
      <c r="D31" s="82"/>
      <c r="H31" s="59"/>
    </row>
    <row r="32" spans="2:13">
      <c r="B32" s="73" t="s">
        <v>81</v>
      </c>
      <c r="C32" s="74">
        <v>90286</v>
      </c>
      <c r="D32" s="82"/>
    </row>
    <row r="34" spans="2:9" ht="18">
      <c r="B34" s="43" t="s">
        <v>82</v>
      </c>
      <c r="C34" s="44"/>
      <c r="D34" s="44"/>
      <c r="E34" s="44"/>
      <c r="F34" s="44"/>
      <c r="I34" s="59"/>
    </row>
    <row r="36" spans="2:9">
      <c r="B36" s="9" t="s">
        <v>83</v>
      </c>
    </row>
    <row r="37" spans="2:9">
      <c r="B37" s="8" t="s">
        <v>84</v>
      </c>
      <c r="C37" s="34">
        <f>Calculations!U37</f>
        <v>3139.6320868304197</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G4" zoomScale="85" zoomScaleNormal="85" workbookViewId="0" xr3:uid="{F9CF3CF3-643B-5BE6-8B46-32C596A47465}">
      <selection activeCell="U37" sqref="U37"/>
    </sheetView>
  </sheetViews>
  <sheetFormatPr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1" t="s">
        <v>3</v>
      </c>
      <c r="N3" s="131" t="s">
        <v>86</v>
      </c>
      <c r="O3" s="102" t="s">
        <v>87</v>
      </c>
      <c r="P3" s="103" t="s">
        <v>88</v>
      </c>
      <c r="Q3" s="131" t="s">
        <v>89</v>
      </c>
      <c r="R3" s="131" t="s">
        <v>90</v>
      </c>
      <c r="S3" s="131" t="s">
        <v>91</v>
      </c>
      <c r="T3" s="131" t="s">
        <v>92</v>
      </c>
      <c r="U3" s="131" t="s">
        <v>93</v>
      </c>
    </row>
    <row r="4" spans="1:21" ht="15.6">
      <c r="A4" s="13" t="s">
        <v>20</v>
      </c>
      <c r="B4" s="39">
        <v>2018</v>
      </c>
      <c r="D4" s="104" t="s">
        <v>94</v>
      </c>
      <c r="E4" s="105">
        <f>VLOOKUP(Year_Open_to_Traffic?,Calculations!M4:N36,2,Calculations!N4:N36)</f>
        <v>91954.750233984145</v>
      </c>
      <c r="G4" s="137" t="s">
        <v>95</v>
      </c>
      <c r="H4" s="137"/>
      <c r="I4" s="137"/>
      <c r="J4" s="137"/>
      <c r="L4" s="106"/>
      <c r="M4" s="107">
        <v>2018</v>
      </c>
      <c r="N4" s="108">
        <f>_2018_Volume_ADT</f>
        <v>77496</v>
      </c>
      <c r="O4" s="109" t="s">
        <v>96</v>
      </c>
      <c r="P4" s="110">
        <f>MIN(B12,1)</f>
        <v>0.34318720510378131</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30</v>
      </c>
      <c r="D5" s="104" t="s">
        <v>98</v>
      </c>
      <c r="E5" s="105">
        <f>$E$4*'Inputs &amp; Outputs'!$C$12</f>
        <v>91954.750233984145</v>
      </c>
      <c r="G5" s="138" t="s">
        <v>99</v>
      </c>
      <c r="H5" s="138"/>
      <c r="I5" s="138"/>
      <c r="J5" s="111">
        <f>SUMPRODUCT(Possible_Crash_Reductions,'Value of Statistical Life'!E5:E11)</f>
        <v>343772.08853029698</v>
      </c>
      <c r="L5" s="106"/>
      <c r="M5" s="11">
        <f t="shared" ref="M5:M36" si="1">M4+1</f>
        <v>2019</v>
      </c>
      <c r="N5" s="112">
        <f>N4+(N4*O5)</f>
        <v>79413.226484376981</v>
      </c>
      <c r="O5" s="113">
        <f t="shared" ref="O5:O11" si="2">IF(ISERROR(_2025_2045_Demand_Growth),_2018_2045_Demand_Growth,_2018_2025_Demand_Growth)</f>
        <v>2.4739683136897117E-2</v>
      </c>
      <c r="P5" s="114">
        <f t="shared" ref="P5:P11" si="3">P4*(1+IFERROR(_2018_2025_V_C_Growth,_2018_2045_V_C_Growth))</f>
        <v>0.35167754781468619</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23908235.060835879</v>
      </c>
      <c r="L6" s="106"/>
      <c r="M6" s="107">
        <f t="shared" si="1"/>
        <v>2020</v>
      </c>
      <c r="N6" s="112">
        <f t="shared" ref="N6:N36" si="6">N5+(N5*O6)</f>
        <v>81377.884544479108</v>
      </c>
      <c r="O6" s="113">
        <f t="shared" si="2"/>
        <v>2.4739683136897117E-2</v>
      </c>
      <c r="P6" s="114">
        <f t="shared" si="3"/>
        <v>0.36037793891398251</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83391.147622460514</v>
      </c>
      <c r="O7" s="113">
        <f t="shared" si="2"/>
        <v>2.4739683136897117E-2</v>
      </c>
      <c r="P7" s="114">
        <f t="shared" si="3"/>
        <v>0.36929357493224252</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85454.218191062391</v>
      </c>
      <c r="O8" s="113">
        <f t="shared" si="2"/>
        <v>2.4739683136897117E-2</v>
      </c>
      <c r="P8" s="114">
        <f t="shared" si="3"/>
        <v>0.37842978096055818</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103</v>
      </c>
      <c r="B9" s="118">
        <f>(_2025_Peak_Period_Volume/'Inputs &amp; Outputs'!$C$27)^(1/(2025-2018))-1</f>
        <v>2.4739683136897117E-2</v>
      </c>
      <c r="D9" s="39" t="s">
        <v>104</v>
      </c>
      <c r="E9" s="119">
        <f>IF('Inputs &amp; Outputs'!$C$8='CRASH RATES'!$D$3, VLOOKUP('Inputs &amp; Outputs'!$C$7,'CRASH RATES'!$C$14:$J$21,3,FALSE), VLOOKUP('Inputs &amp; Outputs'!$C$7,'CRASH RATES'!$C$28:$J$35,3,FALSE))</f>
        <v>0</v>
      </c>
      <c r="F9" s="85"/>
      <c r="L9" s="106"/>
      <c r="M9" s="11">
        <f t="shared" si="1"/>
        <v>2023</v>
      </c>
      <c r="N9" s="112">
        <f t="shared" si="6"/>
        <v>87568.32847182054</v>
      </c>
      <c r="O9" s="113">
        <f t="shared" si="2"/>
        <v>2.4739683136897117E-2</v>
      </c>
      <c r="P9" s="114">
        <f t="shared" si="3"/>
        <v>0.38779201383108775</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105</v>
      </c>
      <c r="B10" s="118">
        <f>(_2045_Peak_Period_Volume/_2025_Peak_Period_Volume)^(1/(2045-2025))-1</f>
        <v>1.6041836714662194E-2</v>
      </c>
      <c r="D10" s="39" t="s">
        <v>106</v>
      </c>
      <c r="E10" s="119">
        <f>IF('Inputs &amp; Outputs'!$C$8='CRASH RATES'!$D$3, VLOOKUP('Inputs &amp; Outputs'!$C$7,'CRASH RATES'!$C$14:$J$21,4,FALSE), VLOOKUP('Inputs &amp; Outputs'!$C$7,'CRASH RATES'!$C$28:$J$35,4,FALSE))</f>
        <v>0.71587584389076675</v>
      </c>
      <c r="F10" s="85"/>
      <c r="L10" s="106"/>
      <c r="M10" s="107">
        <f t="shared" si="1"/>
        <v>2024</v>
      </c>
      <c r="N10" s="112">
        <f t="shared" si="6"/>
        <v>89734.741171041111</v>
      </c>
      <c r="O10" s="113">
        <f t="shared" si="2"/>
        <v>2.4739683136897117E-2</v>
      </c>
      <c r="P10" s="114">
        <f t="shared" si="3"/>
        <v>0.39738586537628806</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6">
      <c r="A11" s="39" t="s">
        <v>107</v>
      </c>
      <c r="B11" s="118">
        <f>(_2045_Peak_Period_Volume/'Inputs &amp; Outputs'!$C$27)^(1/(2045-2018))-1</f>
        <v>1.8289719631280343E-2</v>
      </c>
      <c r="D11" s="39" t="s">
        <v>108</v>
      </c>
      <c r="E11" s="119">
        <f>IF('Inputs &amp; Outputs'!$C$8='CRASH RATES'!$D$3, VLOOKUP('Inputs &amp; Outputs'!$C$7,'CRASH RATES'!$C$14:$J$21,5,FALSE), VLOOKUP('Inputs &amp; Outputs'!$C$7,'CRASH RATES'!$C$28:$J$35,5,FALSE))</f>
        <v>4.7247805696790603</v>
      </c>
      <c r="F11" s="85"/>
      <c r="L11" s="106"/>
      <c r="M11" s="11">
        <f t="shared" si="1"/>
        <v>2025</v>
      </c>
      <c r="N11" s="112">
        <f t="shared" si="6"/>
        <v>91954.750233984145</v>
      </c>
      <c r="O11" s="113">
        <f t="shared" si="2"/>
        <v>2.4739683136897117E-2</v>
      </c>
      <c r="P11" s="114">
        <f t="shared" si="3"/>
        <v>0.40721706576877909</v>
      </c>
      <c r="Q11" s="115">
        <f t="shared" si="4"/>
        <v>1</v>
      </c>
      <c r="R11" s="30">
        <f>IF(M11=Year_Open_to_Traffic?,Calculations!$J$5,Calculations!R10+(Calculations!R10*Calculations!O11*Q11))</f>
        <v>343772.08853029698</v>
      </c>
      <c r="S11" s="45">
        <f t="shared" si="0"/>
        <v>1</v>
      </c>
      <c r="T11" s="30">
        <f t="shared" si="5"/>
        <v>343.77208853029697</v>
      </c>
      <c r="U11" s="31">
        <f>T11/(1+Real_Discount_Rate)^(Calculations!M11-'Assumed Values'!$C$5)</f>
        <v>214.08397939936924</v>
      </c>
    </row>
    <row r="12" spans="1:21" ht="15.6">
      <c r="A12" s="39" t="s">
        <v>109</v>
      </c>
      <c r="B12" s="120">
        <f>'Inputs &amp; Outputs'!C27/_2018_Peak_Period_Capacity</f>
        <v>0.34318720510378131</v>
      </c>
      <c r="D12" s="39" t="s">
        <v>110</v>
      </c>
      <c r="E12" s="119">
        <f>IF('Inputs &amp; Outputs'!$C$8='CRASH RATES'!$D$3, VLOOKUP('Inputs &amp; Outputs'!$C$7,'CRASH RATES'!$C$14:$J$21,6,FALSE), VLOOKUP('Inputs &amp; Outputs'!$C$7,'CRASH RATES'!$C$28:$J$35,6,FALSE))</f>
        <v>3.8657295570101406</v>
      </c>
      <c r="F12" s="85"/>
      <c r="L12" s="106"/>
      <c r="M12" s="107">
        <f t="shared" si="1"/>
        <v>2026</v>
      </c>
      <c r="N12" s="112">
        <f t="shared" si="6"/>
        <v>93429.873322375264</v>
      </c>
      <c r="O12" s="113">
        <f t="shared" ref="O12:O36" si="7">IFERROR(_2025_2045_Demand_Growth,_2018_2045_Demand_Growth)</f>
        <v>1.6041836714662194E-2</v>
      </c>
      <c r="P12" s="114">
        <f t="shared" ref="P12:P36" si="8">P11*(1+IFERROR(_2025_2040_V_C_Growth,_2018_2045_V_C_Growth))</f>
        <v>0.41374957544526569</v>
      </c>
      <c r="Q12" s="115">
        <f t="shared" si="4"/>
        <v>1</v>
      </c>
      <c r="R12" s="30">
        <f>IF(M12=Year_Open_to_Traffic?,Calculations!$J$5,Calculations!R11+(Calculations!R11*Calculations!O12*Q12))</f>
        <v>349286.82424155838</v>
      </c>
      <c r="S12" s="45">
        <f t="shared" si="0"/>
        <v>1</v>
      </c>
      <c r="T12" s="30">
        <f t="shared" si="5"/>
        <v>349.28682424155841</v>
      </c>
      <c r="U12" s="31">
        <f>T12/(1+Real_Discount_Rate)^(Calculations!M12-'Assumed Values'!$C$5)</f>
        <v>203.28811181319537</v>
      </c>
    </row>
    <row r="13" spans="1:21" ht="15.6">
      <c r="A13" s="39" t="s">
        <v>111</v>
      </c>
      <c r="B13" s="120">
        <f>_2025_Peak_Period_Volume/_2025_Peak_Period_Capacity</f>
        <v>0.4072170657687792</v>
      </c>
      <c r="D13" s="39" t="s">
        <v>112</v>
      </c>
      <c r="E13" s="119">
        <f>IF('Inputs &amp; Outputs'!$C$8='CRASH RATES'!$D$3, VLOOKUP('Inputs &amp; Outputs'!$C$7,'CRASH RATES'!$C$14:$J$21,7,FALSE), VLOOKUP('Inputs &amp; Outputs'!$C$7,'CRASH RATES'!$C$28:$J$35,7,FALSE))</f>
        <v>59.847220549268101</v>
      </c>
      <c r="F13" s="85"/>
      <c r="L13" s="106"/>
      <c r="M13" s="11">
        <f t="shared" si="1"/>
        <v>2027</v>
      </c>
      <c r="N13" s="112">
        <f t="shared" si="6"/>
        <v>94928.660094484381</v>
      </c>
      <c r="O13" s="113">
        <f t="shared" si="7"/>
        <v>1.6041836714662194E-2</v>
      </c>
      <c r="P13" s="114">
        <f t="shared" si="8"/>
        <v>0.42038687857531948</v>
      </c>
      <c r="Q13" s="115">
        <f t="shared" si="4"/>
        <v>1</v>
      </c>
      <c r="R13" s="30">
        <f>IF(M13=Year_Open_to_Traffic?,Calculations!$J$5,Calculations!R12+(Calculations!R12*Calculations!O13*Q13))</f>
        <v>354890.0264426244</v>
      </c>
      <c r="S13" s="45">
        <f t="shared" si="0"/>
        <v>1</v>
      </c>
      <c r="T13" s="30">
        <f t="shared" si="5"/>
        <v>354.89002644262439</v>
      </c>
      <c r="U13" s="31">
        <f>T13/(1+Real_Discount_Rate)^(Calculations!M13-'Assumed Values'!$C$5)</f>
        <v>193.03666028872394</v>
      </c>
    </row>
    <row r="14" spans="1:21" ht="15.6">
      <c r="A14" s="39" t="s">
        <v>113</v>
      </c>
      <c r="B14" s="120">
        <f>_2045_Peak_Period_Volume/_2045_Peak_Period_Capacity</f>
        <v>0.55983208913895843</v>
      </c>
      <c r="D14" s="39" t="s">
        <v>114</v>
      </c>
      <c r="E14" s="119">
        <f>IF('Inputs &amp; Outputs'!$C$8='CRASH RATES'!$D$3, VLOOKUP('Inputs &amp; Outputs'!$C$7,'CRASH RATES'!$C$14:$J$21,8,FALSE), VLOOKUP('Inputs &amp; Outputs'!$C$7,'CRASH RATES'!$C$28:$J$35,8,FALSE))</f>
        <v>1.4317516877815335</v>
      </c>
      <c r="F14" s="85"/>
      <c r="L14" s="106"/>
      <c r="M14" s="107">
        <f>M13+1</f>
        <v>2028</v>
      </c>
      <c r="N14" s="112">
        <f t="shared" si="6"/>
        <v>96451.490159261768</v>
      </c>
      <c r="O14" s="113">
        <f t="shared" si="7"/>
        <v>1.6041836714662194E-2</v>
      </c>
      <c r="P14" s="114">
        <f>P13*(1+IFERROR(_2025_2040_V_C_Growth,_2018_2045_V_C_Growth))</f>
        <v>0.42713065623841129</v>
      </c>
      <c r="Q14" s="115">
        <f t="shared" si="4"/>
        <v>1</v>
      </c>
      <c r="R14" s="30">
        <f>IF(M14=Year_Open_to_Traffic?,Calculations!$J$5,Calculations!R13+(Calculations!R13*Calculations!O14*Q14))</f>
        <v>360583.11429847911</v>
      </c>
      <c r="S14" s="45">
        <f t="shared" si="0"/>
        <v>1</v>
      </c>
      <c r="T14" s="30">
        <f t="shared" si="5"/>
        <v>360.58311429847913</v>
      </c>
      <c r="U14" s="31">
        <f>T14/(1+Real_Discount_Rate)^(Calculations!M14-'Assumed Values'!$C$5)</f>
        <v>183.30217090936389</v>
      </c>
    </row>
    <row r="15" spans="1:21" ht="15.6">
      <c r="A15" s="39" t="s">
        <v>115</v>
      </c>
      <c r="B15" s="118">
        <f>(B13/B12)^(1/(2025-2018))-1</f>
        <v>2.4739683136897117E-2</v>
      </c>
      <c r="L15" s="106"/>
      <c r="M15" s="11">
        <f>M14+1</f>
        <v>2029</v>
      </c>
      <c r="N15" s="112">
        <f t="shared" si="6"/>
        <v>97998.7492152825</v>
      </c>
      <c r="O15" s="113">
        <f t="shared" si="7"/>
        <v>1.6041836714662194E-2</v>
      </c>
      <c r="P15" s="114">
        <f>P14*(1+IFERROR(_2025_2040_V_C_Growth,_2018_2045_V_C_Growth))</f>
        <v>0.4339826164816144</v>
      </c>
      <c r="Q15" s="115">
        <f t="shared" si="4"/>
        <v>1</v>
      </c>
      <c r="R15" s="30">
        <f>IF(M15=Year_Open_to_Traffic?,Calculations!$J$5,Calculations!R14+(Calculations!R14*Calculations!O15*Q15))</f>
        <v>366367.5297401197</v>
      </c>
      <c r="S15" s="45">
        <f t="shared" si="0"/>
        <v>1</v>
      </c>
      <c r="T15" s="30">
        <f t="shared" si="5"/>
        <v>366.36752974011972</v>
      </c>
      <c r="U15" s="31">
        <f>T15/(1+Real_Discount_Rate)^(Calculations!M15-'Assumed Values'!$C$5)</f>
        <v>174.0585742098458</v>
      </c>
    </row>
    <row r="16" spans="1:21" ht="15.6">
      <c r="A16" s="39" t="s">
        <v>116</v>
      </c>
      <c r="B16" s="118">
        <f>(B14/B13)^(1/(2045-2025))-1</f>
        <v>1.6041836714662194E-2</v>
      </c>
      <c r="D16" s="121" t="s">
        <v>117</v>
      </c>
      <c r="E16" s="57"/>
      <c r="L16" s="106"/>
      <c r="M16" s="107">
        <f t="shared" si="1"/>
        <v>2030</v>
      </c>
      <c r="N16" s="112">
        <f t="shared" si="6"/>
        <v>99570.829148435194</v>
      </c>
      <c r="O16" s="113">
        <f t="shared" si="7"/>
        <v>1.6041836714662194E-2</v>
      </c>
      <c r="P16" s="114">
        <f t="shared" si="8"/>
        <v>0.44094449475221431</v>
      </c>
      <c r="Q16" s="115">
        <f t="shared" si="4"/>
        <v>1</v>
      </c>
      <c r="R16" s="30">
        <f>IF(M16=Year_Open_to_Traffic?,Calculations!$J$5,Calculations!R15+(Calculations!R15*Calculations!O16*Q16))</f>
        <v>372244.73782976484</v>
      </c>
      <c r="S16" s="45">
        <f t="shared" si="0"/>
        <v>1</v>
      </c>
      <c r="T16" s="30">
        <f t="shared" si="5"/>
        <v>372.24473782976486</v>
      </c>
      <c r="U16" s="31">
        <f>T16/(1+Real_Discount_Rate)^(Calculations!M16-'Assumed Values'!$C$5)</f>
        <v>165.28111536084774</v>
      </c>
    </row>
    <row r="17" spans="1:21" ht="15.6">
      <c r="A17" s="39" t="s">
        <v>118</v>
      </c>
      <c r="B17" s="118">
        <f>(B14/B12)^(1/(2045-2018))-1</f>
        <v>1.8289719631280343E-2</v>
      </c>
      <c r="D17" s="39" t="s">
        <v>119</v>
      </c>
      <c r="E17" s="122">
        <f>($E$6*Death_Rate)/100000000</f>
        <v>0</v>
      </c>
      <c r="L17" s="106"/>
      <c r="M17" s="11">
        <f t="shared" si="1"/>
        <v>2031</v>
      </c>
      <c r="N17" s="112">
        <f t="shared" si="6"/>
        <v>101168.12813117792</v>
      </c>
      <c r="O17" s="113">
        <f t="shared" si="7"/>
        <v>1.6041836714662194E-2</v>
      </c>
      <c r="P17" s="114">
        <f t="shared" si="8"/>
        <v>0.44801805433725855</v>
      </c>
      <c r="Q17" s="115">
        <f t="shared" si="4"/>
        <v>1</v>
      </c>
      <c r="R17" s="30">
        <f>IF(M17=Year_Open_to_Traffic?,Calculations!$J$5,Calculations!R16+(Calculations!R16*Calculations!O17*Q17))</f>
        <v>378216.22713192215</v>
      </c>
      <c r="S17" s="45">
        <f t="shared" si="0"/>
        <v>1</v>
      </c>
      <c r="T17" s="30">
        <f t="shared" si="5"/>
        <v>378.21622713192215</v>
      </c>
      <c r="U17" s="31">
        <f>T17/(1+Real_Discount_Rate)^(Calculations!M17-'Assumed Values'!$C$5)</f>
        <v>156.94628787428383</v>
      </c>
    </row>
    <row r="18" spans="1:21" ht="15.6">
      <c r="D18" s="39" t="s">
        <v>120</v>
      </c>
      <c r="E18" s="122">
        <f>($E$6*Incap_Injry_Rate)/100000000</f>
        <v>0.171153279501147</v>
      </c>
      <c r="L18" s="106"/>
      <c r="M18" s="107">
        <f t="shared" si="1"/>
        <v>2032</v>
      </c>
      <c r="N18" s="112">
        <f t="shared" si="6"/>
        <v>102791.0507233863</v>
      </c>
      <c r="O18" s="113">
        <f t="shared" si="7"/>
        <v>1.6041836714662194E-2</v>
      </c>
      <c r="P18" s="114">
        <f t="shared" si="8"/>
        <v>0.45520508681015753</v>
      </c>
      <c r="Q18" s="115">
        <f t="shared" si="4"/>
        <v>1</v>
      </c>
      <c r="R18" s="30">
        <f>IF(M18=Year_Open_to_Traffic?,Calculations!$J$5,Calculations!R17+(Calculations!R17*Calculations!O18*Q18))</f>
        <v>384283.51009040803</v>
      </c>
      <c r="S18" s="45">
        <f t="shared" si="0"/>
        <v>1</v>
      </c>
      <c r="T18" s="30">
        <f t="shared" si="5"/>
        <v>384.28351009040802</v>
      </c>
      <c r="U18" s="31">
        <f>T18/(1+Real_Discount_Rate)^(Calculations!M18-'Assumed Values'!$C$5)</f>
        <v>149.03177065171536</v>
      </c>
    </row>
    <row r="19" spans="1:21" ht="15.6">
      <c r="D19" s="39" t="s">
        <v>121</v>
      </c>
      <c r="E19" s="122">
        <f>($E$6*Nonincap_Injry_Rate)/100000000</f>
        <v>1.1296116447075701</v>
      </c>
      <c r="L19" s="106"/>
      <c r="M19" s="11">
        <f t="shared" si="1"/>
        <v>2033</v>
      </c>
      <c r="N19" s="112">
        <f t="shared" si="6"/>
        <v>104440.00797481943</v>
      </c>
      <c r="O19" s="113">
        <f t="shared" si="7"/>
        <v>1.6041836714662194E-2</v>
      </c>
      <c r="P19" s="114">
        <f t="shared" si="8"/>
        <v>0.46250741248444971</v>
      </c>
      <c r="Q19" s="115">
        <f t="shared" si="4"/>
        <v>1</v>
      </c>
      <c r="R19" s="30">
        <f>IF(M19=Year_Open_to_Traffic?,Calculations!$J$5,Calculations!R18+(Calculations!R18*Calculations!O19*Q19))</f>
        <v>390448.12341141561</v>
      </c>
      <c r="S19" s="45">
        <f t="shared" si="0"/>
        <v>1</v>
      </c>
      <c r="T19" s="30">
        <f t="shared" si="5"/>
        <v>390.44812341141562</v>
      </c>
      <c r="U19" s="31">
        <f>T19/(1+Real_Discount_Rate)^(Calculations!M19-'Assumed Values'!$C$5)</f>
        <v>141.51636820729641</v>
      </c>
    </row>
    <row r="20" spans="1:21" ht="15.6">
      <c r="D20" s="39" t="s">
        <v>122</v>
      </c>
      <c r="E20" s="122">
        <f>($E$6*Poss_Injry_Rate/100000000)</f>
        <v>0.92422770930619402</v>
      </c>
      <c r="L20" s="106"/>
      <c r="M20" s="107">
        <f t="shared" si="1"/>
        <v>2034</v>
      </c>
      <c r="N20" s="112">
        <f t="shared" si="6"/>
        <v>106115.4175292295</v>
      </c>
      <c r="O20" s="113">
        <f t="shared" si="7"/>
        <v>1.6041836714662194E-2</v>
      </c>
      <c r="P20" s="114">
        <f t="shared" si="8"/>
        <v>0.46992688087484619</v>
      </c>
      <c r="Q20" s="115">
        <f t="shared" si="4"/>
        <v>1</v>
      </c>
      <c r="R20" s="30">
        <f>IF(M20=Year_Open_to_Traffic?,Calculations!$J$5,Calculations!R19+(Calculations!R19*Calculations!O20*Q20))</f>
        <v>396711.6284527278</v>
      </c>
      <c r="S20" s="45">
        <f t="shared" si="0"/>
        <v>1</v>
      </c>
      <c r="T20" s="30">
        <f t="shared" si="5"/>
        <v>396.71162845272778</v>
      </c>
      <c r="U20" s="31">
        <f>T20/(1+Real_Discount_Rate)^(Calculations!M20-'Assumed Values'!$C$5)</f>
        <v>134.37995390516812</v>
      </c>
    </row>
    <row r="21" spans="1:21" ht="15.6">
      <c r="D21" s="39" t="s">
        <v>123</v>
      </c>
      <c r="E21" s="122">
        <f>($E$6*Non_Injry_Rate)/100000000</f>
        <v>14.308414166295892</v>
      </c>
      <c r="L21" s="106"/>
      <c r="M21" s="11">
        <f>M20+1</f>
        <v>2035</v>
      </c>
      <c r="N21" s="112">
        <f t="shared" si="6"/>
        <v>107817.7037301416</v>
      </c>
      <c r="O21" s="113">
        <f t="shared" si="7"/>
        <v>1.6041836714662194E-2</v>
      </c>
      <c r="P21" s="114">
        <f>P20*(1+IFERROR(_2025_2040_V_C_Growth,_2018_2045_V_C_Growth))</f>
        <v>0.477465371165671</v>
      </c>
      <c r="Q21" s="115">
        <f t="shared" si="4"/>
        <v>1</v>
      </c>
      <c r="R21" s="30">
        <f>IF(M21=Year_Open_to_Traffic?,Calculations!$J$5,Calculations!R20+(Calculations!R20*Calculations!O21*Q21))</f>
        <v>403075.61161917419</v>
      </c>
      <c r="S21" s="45">
        <f t="shared" si="0"/>
        <v>1</v>
      </c>
      <c r="T21" s="30">
        <f t="shared" si="5"/>
        <v>403.0756116191742</v>
      </c>
      <c r="U21" s="31">
        <f>T21/(1+Real_Discount_Rate)^(Calculations!M21-'Assumed Values'!$C$5)</f>
        <v>127.60341605928846</v>
      </c>
    </row>
    <row r="22" spans="1:21" ht="15.6">
      <c r="D22" s="39" t="s">
        <v>124</v>
      </c>
      <c r="E22" s="122">
        <f>($E$6*Unkn_Injry_Rate)/100000000</f>
        <v>0.34230655900229401</v>
      </c>
      <c r="L22" s="106"/>
      <c r="M22" s="107">
        <f>M21+1</f>
        <v>2036</v>
      </c>
      <c r="N22" s="112">
        <f t="shared" si="6"/>
        <v>109547.29772833035</v>
      </c>
      <c r="O22" s="113">
        <f t="shared" si="7"/>
        <v>1.6041836714662194E-2</v>
      </c>
      <c r="P22" s="114">
        <f t="shared" si="8"/>
        <v>0.4851247926868163</v>
      </c>
      <c r="Q22" s="115">
        <f t="shared" si="4"/>
        <v>1</v>
      </c>
      <c r="R22" s="30">
        <f>IF(M22=Year_Open_to_Traffic?,Calculations!$J$5,Calculations!R21+(Calculations!R21*Calculations!O22*Q22))</f>
        <v>409541.68476443156</v>
      </c>
      <c r="S22" s="45">
        <f t="shared" si="0"/>
        <v>1</v>
      </c>
      <c r="T22" s="30">
        <f t="shared" si="5"/>
        <v>409.54168476443158</v>
      </c>
      <c r="U22" s="31">
        <f>T22/(1+Real_Discount_Rate)^(Calculations!M22-'Assumed Values'!$C$5)</f>
        <v>121.16860675135017</v>
      </c>
    </row>
    <row r="23" spans="1:21" ht="15.6">
      <c r="L23" s="106"/>
      <c r="M23" s="11">
        <f t="shared" si="1"/>
        <v>2037</v>
      </c>
      <c r="N23" s="112">
        <f t="shared" si="6"/>
        <v>111304.63759102071</v>
      </c>
      <c r="O23" s="113">
        <f t="shared" si="7"/>
        <v>1.6041836714662194E-2</v>
      </c>
      <c r="P23" s="114">
        <f t="shared" si="8"/>
        <v>0.49290708539733258</v>
      </c>
      <c r="Q23" s="115">
        <f t="shared" si="4"/>
        <v>1</v>
      </c>
      <c r="R23" s="30">
        <f>IF(M23=Year_Open_to_Traffic?,Calculations!$J$5,Calculations!R22+(Calculations!R22*Calculations!O23*Q23))</f>
        <v>416111.48559927021</v>
      </c>
      <c r="S23" s="45">
        <f t="shared" si="0"/>
        <v>1</v>
      </c>
      <c r="T23" s="30">
        <f t="shared" si="5"/>
        <v>416.11148559927022</v>
      </c>
      <c r="U23" s="31">
        <f>T23/(1+Real_Discount_Rate)^(Calculations!M23-'Assumed Values'!$C$5)</f>
        <v>115.05829322971815</v>
      </c>
    </row>
    <row r="24" spans="1:21" ht="15.6">
      <c r="L24" s="106"/>
      <c r="M24" s="107">
        <f t="shared" si="1"/>
        <v>2038</v>
      </c>
      <c r="N24" s="112">
        <f t="shared" si="6"/>
        <v>113090.16841284052</v>
      </c>
      <c r="O24" s="113">
        <f t="shared" si="7"/>
        <v>1.6041836714662194E-2</v>
      </c>
      <c r="P24" s="114">
        <f t="shared" si="8"/>
        <v>0.50081422037677659</v>
      </c>
      <c r="Q24" s="115">
        <f t="shared" si="4"/>
        <v>1</v>
      </c>
      <c r="R24" s="30">
        <f>IF(M24=Year_Open_to_Traffic?,Calculations!$J$5,Calculations!R23+(Calculations!R23*Calculations!O24*Q24))</f>
        <v>422786.67810634919</v>
      </c>
      <c r="S24" s="45">
        <f t="shared" si="0"/>
        <v>1</v>
      </c>
      <c r="T24" s="30">
        <f t="shared" si="5"/>
        <v>422.7866781063492</v>
      </c>
      <c r="U24" s="31">
        <f>T24/(1+Real_Discount_Rate)^(Calculations!M24-'Assumed Values'!$C$5)</f>
        <v>109.25611175923085</v>
      </c>
    </row>
    <row r="25" spans="1:21" ht="15.6">
      <c r="A25" s="135" t="s">
        <v>125</v>
      </c>
      <c r="B25" s="135"/>
      <c r="D25" s="101" t="s">
        <v>119</v>
      </c>
      <c r="E25" s="101" t="s">
        <v>120</v>
      </c>
      <c r="F25" s="101" t="s">
        <v>121</v>
      </c>
      <c r="G25" s="101" t="s">
        <v>122</v>
      </c>
      <c r="H25" s="101" t="s">
        <v>123</v>
      </c>
      <c r="I25" s="101" t="s">
        <v>124</v>
      </c>
      <c r="J25" s="136" t="s">
        <v>126</v>
      </c>
      <c r="L25" s="106"/>
      <c r="M25" s="11">
        <f t="shared" si="1"/>
        <v>2039</v>
      </c>
      <c r="N25" s="112">
        <f t="shared" si="6"/>
        <v>114904.34242855295</v>
      </c>
      <c r="O25" s="113">
        <f t="shared" si="7"/>
        <v>1.6041836714662194E-2</v>
      </c>
      <c r="P25" s="114">
        <f t="shared" si="8"/>
        <v>0.50884820032444167</v>
      </c>
      <c r="Q25" s="115">
        <f t="shared" si="4"/>
        <v>1</v>
      </c>
      <c r="R25" s="30">
        <f>IF(M25=Year_Open_to_Traffic?,Calculations!$J$5,Calculations!R24+(Calculations!R24*Calculations!O25*Q25))</f>
        <v>429568.95296166569</v>
      </c>
      <c r="S25" s="45">
        <f t="shared" si="0"/>
        <v>1</v>
      </c>
      <c r="T25" s="30">
        <f t="shared" si="5"/>
        <v>429.56895296166567</v>
      </c>
      <c r="U25" s="31">
        <f>T25/(1+Real_Discount_Rate)^(Calculations!M25-'Assumed Values'!$C$5)</f>
        <v>103.74652379827225</v>
      </c>
    </row>
    <row r="26" spans="1:21" ht="15.6">
      <c r="A26" s="135"/>
      <c r="B26" s="135"/>
      <c r="D26" s="123">
        <f>Calculations!E17</f>
        <v>0</v>
      </c>
      <c r="E26" s="123">
        <f>Calculations!E18</f>
        <v>0.171153279501147</v>
      </c>
      <c r="F26" s="123">
        <f>Calculations!E19</f>
        <v>1.1296116447075701</v>
      </c>
      <c r="G26" s="123">
        <f>Calculations!E20</f>
        <v>0.92422770930619402</v>
      </c>
      <c r="H26" s="123">
        <f>Calculations!E21</f>
        <v>14.308414166295892</v>
      </c>
      <c r="I26" s="123">
        <f>Calculations!E22</f>
        <v>0.34230655900229401</v>
      </c>
      <c r="J26" s="136"/>
      <c r="L26" s="106"/>
      <c r="M26" s="107">
        <f t="shared" si="1"/>
        <v>2040</v>
      </c>
      <c r="N26" s="112">
        <f t="shared" si="6"/>
        <v>116747.61912759743</v>
      </c>
      <c r="O26" s="113">
        <f t="shared" si="7"/>
        <v>1.6041836714662194E-2</v>
      </c>
      <c r="P26" s="114">
        <f t="shared" si="8"/>
        <v>0.51701106006659603</v>
      </c>
      <c r="Q26" s="115">
        <f t="shared" si="4"/>
        <v>1</v>
      </c>
      <c r="R26" s="30">
        <f>IF(M26=Year_Open_to_Traffic?,Calculations!$J$5,Calculations!R25+(Calculations!R25*Calculations!O26*Q26))</f>
        <v>436460.02796276513</v>
      </c>
      <c r="S26" s="45">
        <f t="shared" si="0"/>
        <v>1</v>
      </c>
      <c r="T26" s="30">
        <f t="shared" si="5"/>
        <v>436.46002796276514</v>
      </c>
      <c r="U26" s="31">
        <f>T26/(1+Real_Discount_Rate)^(Calculations!M26-'Assumed Values'!$C$5)</f>
        <v>98.514774385755103</v>
      </c>
    </row>
    <row r="27" spans="1:21" ht="15.6">
      <c r="A27" s="38" t="s">
        <v>127</v>
      </c>
      <c r="B27" s="39" t="s">
        <v>128</v>
      </c>
      <c r="D27" s="124">
        <f>D$26*'Value of Statistical Life'!D17*Appropriate_Crash_Reduction_Factor</f>
        <v>0</v>
      </c>
      <c r="E27" s="124">
        <f>E$26*'Value of Statistical Life'!E17*Appropriate_Crash_Reduction_Factor</f>
        <v>4.7060305731635374E-3</v>
      </c>
      <c r="F27" s="124">
        <f>F$26*'Value of Statistical Life'!F17*Appropriate_Crash_Reduction_Factor</f>
        <v>7.5430947186992711E-2</v>
      </c>
      <c r="G27" s="124">
        <f>G$26*'Value of Statistical Life'!G17*Appropriate_Crash_Reduction_Factor</f>
        <v>0.17328899858407418</v>
      </c>
      <c r="H27" s="124">
        <f>H$26*'Value of Statistical Life'!H17*Appropriate_Crash_Reduction_Factor</f>
        <v>10.592118371712195</v>
      </c>
      <c r="I27" s="124">
        <f>I$26*'Value of Statistical Life'!I17*Appropriate_Crash_Reduction_Factor</f>
        <v>0.11960465016787354</v>
      </c>
      <c r="J27" s="124">
        <f t="shared" ref="J27:J33" si="9">SUM(D27:I27)</f>
        <v>10.965148998224299</v>
      </c>
      <c r="K27" s="69"/>
      <c r="L27" s="106"/>
      <c r="M27" s="11">
        <f t="shared" si="1"/>
        <v>2041</v>
      </c>
      <c r="N27" s="112">
        <f t="shared" si="6"/>
        <v>118620.46537046792</v>
      </c>
      <c r="O27" s="113">
        <f t="shared" si="7"/>
        <v>1.6041836714662194E-2</v>
      </c>
      <c r="P27" s="114">
        <f t="shared" si="8"/>
        <v>0.52530486707185875</v>
      </c>
      <c r="Q27" s="115">
        <f t="shared" si="4"/>
        <v>1</v>
      </c>
      <c r="R27" s="30">
        <f>IF(M27=Year_Open_to_Traffic?,Calculations!$J$5,Calculations!R26+(Calculations!R26*Calculations!O27*Q27))</f>
        <v>443461.64846382069</v>
      </c>
      <c r="S27" s="45">
        <f t="shared" si="0"/>
        <v>1</v>
      </c>
      <c r="T27" s="30">
        <f t="shared" si="5"/>
        <v>443.46164846382067</v>
      </c>
      <c r="U27" s="31">
        <f>T27/(1+Real_Discount_Rate)^(Calculations!M27-'Assumed Values'!$C$5)</f>
        <v>93.546852626573042</v>
      </c>
    </row>
    <row r="28" spans="1:21" ht="15.6">
      <c r="A28" s="38" t="s">
        <v>129</v>
      </c>
      <c r="B28" s="39" t="s">
        <v>130</v>
      </c>
      <c r="D28" s="124">
        <f>D$26*'Value of Statistical Life'!D18*Appropriate_Crash_Reduction_Factor</f>
        <v>0</v>
      </c>
      <c r="E28" s="124">
        <f>E$26*'Value of Statistical Life'!E18*Appropriate_Crash_Reduction_Factor</f>
        <v>7.5922225560472817E-2</v>
      </c>
      <c r="F28" s="124">
        <f>F$26*'Value of Statistical Life'!F18*Appropriate_Crash_Reduction_Factor</f>
        <v>0.69442198091411056</v>
      </c>
      <c r="G28" s="124">
        <f>G$26*'Value of Statistical Life'!G18*Appropriate_Crash_Reduction_Factor</f>
        <v>0.50977442916659876</v>
      </c>
      <c r="H28" s="124">
        <f>H$26*'Value of Statistical Life'!H18*Appropriate_Crash_Reduction_Factor</f>
        <v>0.83068929283847437</v>
      </c>
      <c r="I28" s="124">
        <f>I$26*'Value of Statistical Life'!I18*Appropriate_Crash_Reduction_Factor</f>
        <v>0.11430026772957401</v>
      </c>
      <c r="J28" s="124">
        <f t="shared" si="9"/>
        <v>2.2251081962092307</v>
      </c>
      <c r="K28" s="69"/>
      <c r="L28" s="106"/>
      <c r="M28" s="107">
        <f t="shared" si="1"/>
        <v>2042</v>
      </c>
      <c r="N28" s="112">
        <f t="shared" si="6"/>
        <v>120523.35550695821</v>
      </c>
      <c r="O28" s="113">
        <f t="shared" si="7"/>
        <v>1.6041836714662194E-2</v>
      </c>
      <c r="P28" s="114">
        <f t="shared" si="8"/>
        <v>0.53373172197484287</v>
      </c>
      <c r="Q28" s="115">
        <f t="shared" si="4"/>
        <v>1</v>
      </c>
      <c r="R28" s="30">
        <f>IF(M28=Year_Open_to_Traffic?,Calculations!$J$5,Calculations!R27+(Calculations!R27*Calculations!O28*Q28))</f>
        <v>450575.58781769226</v>
      </c>
      <c r="S28" s="45">
        <f t="shared" si="0"/>
        <v>1</v>
      </c>
      <c r="T28" s="30">
        <f t="shared" si="5"/>
        <v>450.57558781769228</v>
      </c>
      <c r="U28" s="31">
        <f>T28/(1+Real_Discount_Rate)^(Calculations!M28-'Assumed Values'!$C$5)</f>
        <v>88.829454169700099</v>
      </c>
    </row>
    <row r="29" spans="1:21" ht="15.6">
      <c r="A29" s="38" t="s">
        <v>131</v>
      </c>
      <c r="B29" s="39" t="s">
        <v>132</v>
      </c>
      <c r="D29" s="124">
        <f>D$26*'Value of Statistical Life'!D19*Appropriate_Crash_Reduction_Factor</f>
        <v>0</v>
      </c>
      <c r="E29" s="124">
        <f>E$26*'Value of Statistical Life'!E19*Appropriate_Crash_Reduction_Factor</f>
        <v>2.8627782142479852E-2</v>
      </c>
      <c r="F29" s="124">
        <f>F$26*'Value of Statistical Life'!F19*Appropriate_Crash_Reduction_Factor</f>
        <v>9.8484061632184802E-2</v>
      </c>
      <c r="G29" s="124">
        <f>G$26*'Value of Statistical Life'!G19*Appropriate_Crash_Reduction_Factor</f>
        <v>4.7253914321407089E-2</v>
      </c>
      <c r="H29" s="124">
        <f>H$26*'Value of Statistical Life'!H19*Appropriate_Crash_Reduction_Factor</f>
        <v>2.2664528039412695E-2</v>
      </c>
      <c r="I29" s="124">
        <f>I$26*'Value of Statistical Life'!I19*Appropriate_Crash_Reduction_Factor</f>
        <v>2.429555033174682E-2</v>
      </c>
      <c r="J29" s="124">
        <f t="shared" si="9"/>
        <v>0.22132583646723125</v>
      </c>
      <c r="K29" s="69"/>
      <c r="L29" s="106"/>
      <c r="M29" s="11">
        <f t="shared" si="1"/>
        <v>2043</v>
      </c>
      <c r="N29" s="112">
        <f t="shared" si="6"/>
        <v>122456.77149630402</v>
      </c>
      <c r="O29" s="113">
        <f t="shared" si="7"/>
        <v>1.6041836714662194E-2</v>
      </c>
      <c r="P29" s="114">
        <f t="shared" si="8"/>
        <v>0.54229375910819877</v>
      </c>
      <c r="Q29" s="115">
        <f t="shared" si="4"/>
        <v>1</v>
      </c>
      <c r="R29" s="30">
        <f>IF(M29=Year_Open_to_Traffic?,Calculations!$J$5,Calculations!R28+(Calculations!R28*Calculations!O29*Q29))</f>
        <v>457803.64782507659</v>
      </c>
      <c r="S29" s="45">
        <f t="shared" si="0"/>
        <v>1</v>
      </c>
      <c r="T29" s="30">
        <f t="shared" si="5"/>
        <v>457.80364782507661</v>
      </c>
      <c r="U29" s="31">
        <f>T29/(1+Real_Discount_Rate)^(Calculations!M29-'Assumed Values'!$C$5)</f>
        <v>84.349945578451383</v>
      </c>
    </row>
    <row r="30" spans="1:21" ht="15.6">
      <c r="A30" s="38" t="s">
        <v>133</v>
      </c>
      <c r="B30" s="39" t="s">
        <v>134</v>
      </c>
      <c r="D30" s="124">
        <f>D$26*'Value of Statistical Life'!D20*Appropriate_Crash_Reduction_Factor</f>
        <v>0</v>
      </c>
      <c r="E30" s="124">
        <f>E$26*'Value of Statistical Life'!E20*Appropriate_Crash_Reduction_Factor</f>
        <v>1.9767519169264475E-2</v>
      </c>
      <c r="F30" s="124">
        <f>F$26*'Value of Statistical Life'!F20*Appropriate_Crash_Reduction_Factor</f>
        <v>2.8836726066094855E-2</v>
      </c>
      <c r="G30" s="124">
        <f>G$26*'Value of Statistical Life'!G20*Appropriate_Crash_Reduction_Factor</f>
        <v>7.9187830133354703E-3</v>
      </c>
      <c r="H30" s="124">
        <f>H$26*'Value of Statistical Life'!H20*Appropriate_Crash_Reduction_Factor</f>
        <v>9.1573850664293716E-4</v>
      </c>
      <c r="I30" s="124">
        <f>I$26*'Value of Statistical Life'!I20*Appropriate_Crash_Reduction_Factor</f>
        <v>1.3191125557712402E-2</v>
      </c>
      <c r="J30" s="124">
        <f t="shared" si="9"/>
        <v>7.0629892313050141E-2</v>
      </c>
      <c r="K30" s="69"/>
      <c r="L30" s="106"/>
      <c r="M30" s="11">
        <f t="shared" si="1"/>
        <v>2044</v>
      </c>
      <c r="N30" s="112">
        <f t="shared" si="6"/>
        <v>124421.20302925243</v>
      </c>
      <c r="O30" s="113">
        <f t="shared" si="7"/>
        <v>1.6041836714662194E-2</v>
      </c>
      <c r="P30" s="114">
        <f t="shared" si="8"/>
        <v>0.5509931470431928</v>
      </c>
      <c r="Q30" s="115">
        <f t="shared" si="4"/>
        <v>1</v>
      </c>
      <c r="R30" s="30">
        <f>IF(M30=Year_Open_to_Traffic?,Calculations!$J$5,Calculations!R29+(Calculations!R29*Calculations!O30*Q30))</f>
        <v>465147.6591908632</v>
      </c>
      <c r="S30" s="45">
        <f t="shared" si="0"/>
        <v>1</v>
      </c>
      <c r="T30" s="30">
        <f t="shared" si="5"/>
        <v>465.14765919086318</v>
      </c>
      <c r="U30" s="31">
        <f>T30/(1+Real_Discount_Rate)^(Calculations!M30-'Assumed Values'!$C$5)</f>
        <v>80.096330497487429</v>
      </c>
    </row>
    <row r="31" spans="1:21" ht="15.6">
      <c r="A31" s="38" t="s">
        <v>135</v>
      </c>
      <c r="B31" s="39" t="s">
        <v>136</v>
      </c>
      <c r="D31" s="124">
        <f>D$26*'Value of Statistical Life'!D21*Appropriate_Crash_Reduction_Factor</f>
        <v>0</v>
      </c>
      <c r="E31" s="124">
        <f>E$26*'Value of Statistical Life'!E21*Appropriate_Crash_Reduction_Factor</f>
        <v>5.4577357767325758E-3</v>
      </c>
      <c r="F31" s="124">
        <f>F$26*'Value of Statistical Life'!F21*Appropriate_Crash_Reduction_Factor</f>
        <v>5.6028737577495484E-3</v>
      </c>
      <c r="G31" s="124">
        <f>G$26*'Value of Statistical Life'!G21*Appropriate_Crash_Reduction_Factor</f>
        <v>1.0499226777718365E-3</v>
      </c>
      <c r="H31" s="124">
        <f>H$26*'Value of Statistical Life'!H21*Appropriate_Crash_Reduction_Factor</f>
        <v>0</v>
      </c>
      <c r="I31" s="124">
        <f>I$26*'Value of Statistical Life'!I21*Appropriate_Crash_Reduction_Factor</f>
        <v>1.6896251752353234E-3</v>
      </c>
      <c r="J31" s="124">
        <f t="shared" si="9"/>
        <v>1.3800157387489284E-2</v>
      </c>
      <c r="K31" s="69"/>
      <c r="L31" s="106"/>
      <c r="M31" s="11">
        <f t="shared" si="1"/>
        <v>2045</v>
      </c>
      <c r="N31" s="112">
        <f t="shared" si="6"/>
        <v>126417.14765208952</v>
      </c>
      <c r="O31" s="113">
        <f t="shared" si="7"/>
        <v>1.6041836714662194E-2</v>
      </c>
      <c r="P31" s="114">
        <f t="shared" si="8"/>
        <v>0.55983208913895754</v>
      </c>
      <c r="Q31" s="115">
        <f t="shared" si="4"/>
        <v>1</v>
      </c>
      <c r="R31" s="30">
        <f>IF(M31=Year_Open_to_Traffic?,Calculations!$J$5,Calculations!R30+(Calculations!R30*Calculations!O31*Q31))</f>
        <v>472609.48198781034</v>
      </c>
      <c r="S31" s="45">
        <f t="shared" si="0"/>
        <v>1</v>
      </c>
      <c r="T31" s="30">
        <f t="shared" si="5"/>
        <v>472.60948198781034</v>
      </c>
      <c r="U31" s="31">
        <f>T31/(1+Real_Discount_Rate)^(Calculations!M31-'Assumed Values'!$C$5)</f>
        <v>76.057217525954883</v>
      </c>
    </row>
    <row r="32" spans="1:21" ht="15.6">
      <c r="A32" s="38" t="s">
        <v>137</v>
      </c>
      <c r="B32" s="39" t="s">
        <v>138</v>
      </c>
      <c r="D32" s="124">
        <f>D$26*'Value of Statistical Life'!D22*Appropriate_Crash_Reduction_Factor</f>
        <v>0</v>
      </c>
      <c r="E32" s="124">
        <f>E$26*'Value of Statistical Life'!E22*Appropriate_Crash_Reduction_Factor</f>
        <v>2.4413303788043609E-3</v>
      </c>
      <c r="F32" s="124">
        <f>F$26*'Value of Statistical Life'!F22*Appropriate_Crash_Reduction_Factor</f>
        <v>9.1272620892371675E-4</v>
      </c>
      <c r="G32" s="124">
        <f>G$26*'Value of Statistical Life'!G22*Appropriate_Crash_Reduction_Factor</f>
        <v>9.6119681767844171E-5</v>
      </c>
      <c r="H32" s="124">
        <f>H$26*'Value of Statistical Life'!H22*Appropriate_Crash_Reduction_Factor</f>
        <v>3.4340193999110141E-4</v>
      </c>
      <c r="I32" s="124">
        <f>I$26*'Value of Statistical Life'!I22*Appropriate_Crash_Reduction_Factor</f>
        <v>7.6402823969312032E-4</v>
      </c>
      <c r="J32" s="124">
        <f t="shared" si="9"/>
        <v>4.5576064491801432E-3</v>
      </c>
      <c r="K32" s="69"/>
      <c r="L32" s="106"/>
      <c r="M32" s="11">
        <f t="shared" si="1"/>
        <v>2046</v>
      </c>
      <c r="N32" s="112">
        <f t="shared" si="6"/>
        <v>128445.11089265769</v>
      </c>
      <c r="O32" s="113">
        <f t="shared" si="7"/>
        <v>1.6041836714662194E-2</v>
      </c>
      <c r="P32" s="114">
        <f t="shared" si="8"/>
        <v>0.56881282410055289</v>
      </c>
      <c r="Q32" s="115">
        <f t="shared" si="4"/>
        <v>1</v>
      </c>
      <c r="R32" s="30">
        <f>IF(M32=Year_Open_to_Traffic?,Calculations!$J$5,Calculations!R31+(Calculations!R31*Calculations!O32*Q32))</f>
        <v>480191.00612765987</v>
      </c>
      <c r="S32" s="45">
        <f t="shared" si="0"/>
        <v>1</v>
      </c>
      <c r="T32" s="30">
        <f t="shared" si="5"/>
        <v>480.19100612765988</v>
      </c>
      <c r="U32" s="31">
        <f>T32/(1+Real_Discount_Rate)^(Calculations!M32-'Assumed Values'!$C$5)</f>
        <v>72.221789710726924</v>
      </c>
    </row>
    <row r="33" spans="1:21" ht="15.6">
      <c r="A33" s="38" t="s">
        <v>139</v>
      </c>
      <c r="B33" s="39" t="s">
        <v>140</v>
      </c>
      <c r="D33" s="124">
        <f>D$26*'Value of Statistical Life'!D23*Appropriate_Crash_Reduction_Factor</f>
        <v>0</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v>
      </c>
      <c r="K33" s="69"/>
      <c r="L33" s="106"/>
      <c r="M33" s="11">
        <f t="shared" si="1"/>
        <v>2047</v>
      </c>
      <c r="N33" s="112">
        <f t="shared" si="6"/>
        <v>130505.60638839437</v>
      </c>
      <c r="O33" s="113">
        <f t="shared" si="7"/>
        <v>1.6041836714662194E-2</v>
      </c>
      <c r="P33" s="114">
        <f t="shared" si="8"/>
        <v>0.5779376265459798</v>
      </c>
      <c r="Q33" s="115">
        <f t="shared" si="4"/>
        <v>1</v>
      </c>
      <c r="R33" s="30">
        <f>IF(M33=Year_Open_to_Traffic?,Calculations!$J$5,Calculations!R32+(Calculations!R32*Calculations!O33*Q33))</f>
        <v>487894.15183980914</v>
      </c>
      <c r="S33" s="45">
        <f t="shared" si="0"/>
        <v>1</v>
      </c>
      <c r="T33" s="30">
        <f t="shared" si="5"/>
        <v>487.89415183980913</v>
      </c>
      <c r="U33" s="31">
        <f>T33/(1+Real_Discount_Rate)^(Calculations!M33-'Assumed Values'!$C$5)</f>
        <v>68.579775578043993</v>
      </c>
    </row>
    <row r="34" spans="1:21" ht="15.6">
      <c r="J34" s="125"/>
      <c r="L34" s="106"/>
      <c r="M34" s="11">
        <f t="shared" si="1"/>
        <v>2048</v>
      </c>
      <c r="N34" s="112">
        <f t="shared" si="6"/>
        <v>132599.15601642497</v>
      </c>
      <c r="O34" s="113">
        <f t="shared" si="7"/>
        <v>1.6041836714662194E-2</v>
      </c>
      <c r="P34" s="114">
        <f t="shared" si="8"/>
        <v>0.58720880758228977</v>
      </c>
      <c r="Q34" s="115">
        <f t="shared" si="4"/>
        <v>1</v>
      </c>
      <c r="R34" s="30">
        <f>IF(M34=Year_Open_to_Traffic?,Calculations!$J$5,Calculations!R33+(Calculations!R33*Calculations!O34*Q34))</f>
        <v>495720.87015766196</v>
      </c>
      <c r="S34" s="45">
        <f t="shared" si="0"/>
        <v>1</v>
      </c>
      <c r="T34" s="30">
        <f t="shared" si="5"/>
        <v>495.72087015766198</v>
      </c>
      <c r="U34" s="31">
        <f>T34/(1+Real_Discount_Rate)^(Calculations!M34-'Assumed Values'!$C$5)</f>
        <v>65.12142162597678</v>
      </c>
    </row>
    <row r="35" spans="1:21" ht="15.6">
      <c r="G35" s="41"/>
      <c r="H35" s="41"/>
      <c r="L35" s="106"/>
      <c r="M35" s="11">
        <f t="shared" si="1"/>
        <v>2049</v>
      </c>
      <c r="N35" s="112">
        <f t="shared" si="6"/>
        <v>134726.29002574246</v>
      </c>
      <c r="O35" s="113">
        <f t="shared" si="7"/>
        <v>1.6041836714662194E-2</v>
      </c>
      <c r="P35" s="114">
        <f t="shared" si="8"/>
        <v>0.59662871539093632</v>
      </c>
      <c r="Q35" s="115">
        <f t="shared" si="4"/>
        <v>1</v>
      </c>
      <c r="R35" s="30">
        <f>IF(M35=Year_Open_to_Traffic?,Calculations!$J$5,Calculations!R34+(Calculations!R34*Calculations!O35*Q35))</f>
        <v>503673.14341278141</v>
      </c>
      <c r="S35" s="45">
        <f t="shared" si="0"/>
        <v>1</v>
      </c>
      <c r="T35" s="30">
        <f t="shared" si="5"/>
        <v>503.67314341278143</v>
      </c>
      <c r="U35" s="31">
        <f>T35/(1+Real_Discount_Rate)^(Calculations!M35-'Assumed Values'!$C$5)</f>
        <v>61.837466204044262</v>
      </c>
    </row>
    <row r="36" spans="1:21" ht="15.6">
      <c r="G36" s="41"/>
      <c r="H36" s="41"/>
      <c r="L36" s="106"/>
      <c r="M36" s="11">
        <f t="shared" si="1"/>
        <v>2050</v>
      </c>
      <c r="N36" s="112">
        <f t="shared" si="6"/>
        <v>136887.54717150764</v>
      </c>
      <c r="O36" s="113">
        <f t="shared" si="7"/>
        <v>1.6041836714662194E-2</v>
      </c>
      <c r="P36" s="114">
        <f t="shared" si="8"/>
        <v>0.60619973582251641</v>
      </c>
      <c r="Q36" s="115">
        <f t="shared" si="4"/>
        <v>1</v>
      </c>
      <c r="R36" s="30">
        <f>IF(M36=Year_Open_to_Traffic?,Calculations!$J$5,Calculations!R35+(Calculations!R35*Calculations!O36*Q36))</f>
        <v>511752.98573696986</v>
      </c>
      <c r="S36" s="45">
        <f t="shared" si="0"/>
        <v>1</v>
      </c>
      <c r="T36" s="30">
        <f t="shared" si="5"/>
        <v>511.75298573696983</v>
      </c>
      <c r="U36" s="31">
        <f>T36/(1+Real_Discount_Rate)^(Calculations!M36-'Assumed Values'!$C$5)</f>
        <v>58.719114710035498</v>
      </c>
    </row>
    <row r="37" spans="1:21">
      <c r="M37" s="39"/>
      <c r="N37" s="39"/>
      <c r="O37" s="118"/>
      <c r="P37" s="120"/>
      <c r="Q37" s="39"/>
      <c r="R37" s="39"/>
      <c r="S37" s="39"/>
      <c r="T37" s="39"/>
      <c r="U37" s="31">
        <f>SUM(U4:U36)</f>
        <v>3139.6320868304197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9" t="s">
        <v>147</v>
      </c>
      <c r="C12" s="140"/>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5"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53</v>
      </c>
      <c r="G3" s="39" t="s">
        <v>162</v>
      </c>
      <c r="H3" s="127" t="s">
        <v>163</v>
      </c>
      <c r="Q3" s="86"/>
      <c r="R3" s="85"/>
      <c r="S3" s="85"/>
      <c r="T3" s="85"/>
      <c r="U3" s="85"/>
      <c r="V3" s="85"/>
      <c r="W3" s="85"/>
      <c r="X3" s="85"/>
    </row>
    <row r="4" spans="3:24">
      <c r="C4" t="s">
        <v>50</v>
      </c>
      <c r="D4" t="s">
        <v>164</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1"/>
      <c r="T12" s="141"/>
      <c r="U12" s="141"/>
      <c r="V12" s="141"/>
      <c r="W12" s="141"/>
      <c r="X12" s="141"/>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4">
        <v>2686327.44</v>
      </c>
      <c r="O15" s="84">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1"/>
      <c r="T26" s="141"/>
      <c r="U26" s="141"/>
      <c r="V26" s="141"/>
      <c r="W26" s="141"/>
      <c r="X26" s="141"/>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4">
        <v>933781.03</v>
      </c>
      <c r="O29" s="84">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2" t="s">
        <v>199</v>
      </c>
      <c r="C24" s="142"/>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28.9">
      <c r="C18" s="72" t="s">
        <v>220</v>
      </c>
      <c r="D18" s="92">
        <v>122</v>
      </c>
      <c r="E18" s="93">
        <v>0.1</v>
      </c>
      <c r="F18" s="94">
        <v>10</v>
      </c>
    </row>
    <row r="19" spans="3:6">
      <c r="C19" s="72" t="s">
        <v>221</v>
      </c>
      <c r="D19" s="92">
        <v>123</v>
      </c>
      <c r="E19" s="93">
        <v>0.1</v>
      </c>
      <c r="F19" s="94">
        <v>10</v>
      </c>
    </row>
    <row r="20" spans="3:6" ht="28.9">
      <c r="C20" s="72" t="s">
        <v>222</v>
      </c>
      <c r="D20" s="92">
        <v>124</v>
      </c>
      <c r="E20" s="93">
        <v>0.15</v>
      </c>
      <c r="F20" s="94">
        <v>10</v>
      </c>
    </row>
    <row r="21" spans="3:6">
      <c r="C21" s="71" t="s">
        <v>223</v>
      </c>
      <c r="D21" s="92">
        <v>125</v>
      </c>
      <c r="E21" s="95">
        <v>0.15</v>
      </c>
      <c r="F21" s="94">
        <v>10</v>
      </c>
    </row>
    <row r="22" spans="3:6" ht="28.9">
      <c r="C22" s="72" t="s">
        <v>224</v>
      </c>
      <c r="D22" s="92">
        <v>126</v>
      </c>
      <c r="E22" s="93">
        <v>0.2</v>
      </c>
      <c r="F22" s="94">
        <v>10</v>
      </c>
    </row>
    <row r="23" spans="3:6" ht="28.9">
      <c r="C23" s="72" t="s">
        <v>225</v>
      </c>
      <c r="D23" s="92">
        <v>127</v>
      </c>
      <c r="E23" s="93">
        <v>0.1</v>
      </c>
      <c r="F23" s="94">
        <v>10</v>
      </c>
    </row>
    <row r="24" spans="3:6" ht="28.9">
      <c r="C24" s="72" t="s">
        <v>226</v>
      </c>
      <c r="D24" s="92">
        <v>128</v>
      </c>
      <c r="E24" s="93">
        <v>0.05</v>
      </c>
      <c r="F24" s="94">
        <v>6</v>
      </c>
    </row>
    <row r="25" spans="3:6">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EF70FC-D3A1-4D88-BD80-CB974D7D1A2A}"/>
</file>

<file path=customXml/itemProps2.xml><?xml version="1.0" encoding="utf-8"?>
<ds:datastoreItem xmlns:ds="http://schemas.openxmlformats.org/officeDocument/2006/customXml" ds:itemID="{54F87460-F38E-4239-8DC9-19965E08C286}"/>
</file>

<file path=customXml/itemProps3.xml><?xml version="1.0" encoding="utf-8"?>
<ds:datastoreItem xmlns:ds="http://schemas.openxmlformats.org/officeDocument/2006/customXml" ds:itemID="{CD71EC05-F4EC-4594-9AF3-8488D3DFE7E9}"/>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