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Scott\"/>
    </mc:Choice>
  </mc:AlternateContent>
  <xr:revisionPtr revIDLastSave="0" documentId="13_ncr:1_{03AB492C-64D5-4BBF-B671-FD3DEDF294CF}" xr6:coauthVersionLast="37" xr6:coauthVersionMax="37" xr10:uidLastSave="{00000000-0000-0000-0000-000000000000}"/>
  <bookViews>
    <workbookView xWindow="3900" yWindow="0" windowWidth="19140" windowHeight="958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B17" i="7"/>
  <c r="B16" i="7"/>
  <c r="E17" i="7"/>
  <c r="G5" i="7" l="1"/>
  <c r="H5" i="7" s="1"/>
  <c r="N7" i="12"/>
  <c r="O7" i="12" s="1"/>
  <c r="I4" i="7"/>
  <c r="Q7" i="12"/>
  <c r="L7" i="12"/>
  <c r="B21" i="5"/>
  <c r="J14" i="5"/>
  <c r="H14" i="5"/>
  <c r="G15" i="5"/>
  <c r="H10" i="5"/>
  <c r="C9" i="2"/>
  <c r="B6" i="12" s="1"/>
  <c r="I5" i="7"/>
  <c r="H8" i="12"/>
  <c r="L8" i="12" s="1"/>
  <c r="H6" i="5"/>
  <c r="H11" i="5"/>
  <c r="B20" i="5"/>
  <c r="J5" i="5"/>
  <c r="J13" i="5"/>
  <c r="J11" i="5"/>
  <c r="J10" i="5"/>
  <c r="J9" i="5"/>
  <c r="J4" i="5"/>
  <c r="J12" i="5"/>
  <c r="J8" i="5"/>
  <c r="J7" i="5"/>
  <c r="J6" i="5"/>
  <c r="H12" i="5"/>
  <c r="H4" i="5"/>
  <c r="H13" i="5"/>
  <c r="H5" i="5"/>
  <c r="H7" i="5"/>
  <c r="H8" i="5"/>
  <c r="H9" i="5"/>
  <c r="G6" i="7" l="1"/>
  <c r="H6" i="7" s="1"/>
  <c r="I6" i="7" s="1"/>
  <c r="N8" i="12"/>
  <c r="O8" i="12" s="1"/>
  <c r="Q8" i="12"/>
  <c r="K5" i="5"/>
  <c r="K10" i="5"/>
  <c r="K4" i="5"/>
  <c r="K11" i="5"/>
  <c r="K7" i="5"/>
  <c r="K8" i="5"/>
  <c r="K12" i="5"/>
  <c r="K9" i="5"/>
  <c r="K6" i="5"/>
  <c r="K13" i="5"/>
  <c r="K14" i="5"/>
  <c r="H15" i="5"/>
  <c r="G16" i="5"/>
  <c r="J15" i="5"/>
  <c r="K15" i="5" s="1"/>
  <c r="R8" i="12"/>
  <c r="R7" i="12"/>
  <c r="R6" i="12"/>
  <c r="R4" i="12"/>
  <c r="R5" i="12"/>
  <c r="I13" i="5"/>
  <c r="H9" i="12"/>
  <c r="L9" i="12" s="1"/>
  <c r="I7" i="5"/>
  <c r="I8" i="5"/>
  <c r="I10" i="5"/>
  <c r="I9" i="5"/>
  <c r="I14" i="5"/>
  <c r="I12" i="5"/>
  <c r="I5" i="5"/>
  <c r="I6" i="5"/>
  <c r="I11" i="5"/>
  <c r="B19" i="7"/>
  <c r="I4" i="5"/>
  <c r="G7" i="7" l="1"/>
  <c r="I7" i="7" s="1"/>
  <c r="J7" i="7" s="1"/>
  <c r="N9" i="12"/>
  <c r="O9" i="12" s="1"/>
  <c r="Q9" i="12"/>
  <c r="H16" i="5"/>
  <c r="I16" i="5" s="1"/>
  <c r="J16" i="5"/>
  <c r="K16" i="5" s="1"/>
  <c r="G17" i="5"/>
  <c r="I15" i="5"/>
  <c r="H7" i="7"/>
  <c r="R9" i="12"/>
  <c r="H10" i="12"/>
  <c r="J6" i="7"/>
  <c r="J5" i="7"/>
  <c r="J4" i="7"/>
  <c r="G8" i="7" l="1"/>
  <c r="G9" i="7" s="1"/>
  <c r="N10" i="12"/>
  <c r="O10" i="12" s="1"/>
  <c r="L10" i="12"/>
  <c r="G18" i="5"/>
  <c r="H17" i="5"/>
  <c r="J17" i="5"/>
  <c r="K17" i="5" s="1"/>
  <c r="Q10" i="12"/>
  <c r="R10" i="12"/>
  <c r="H11" i="12"/>
  <c r="H8" i="7" l="1"/>
  <c r="I8" i="7" s="1"/>
  <c r="J8" i="7" s="1"/>
  <c r="N11" i="12"/>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<sst xmlns="http://schemas.openxmlformats.org/spreadsheetml/2006/main" count="291" uniqueCount="238">
  <si>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</si>
  <si>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</si>
  <si>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</si>
  <si>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</si>
  <si>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</si>
  <si>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</si>
  <si>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</si>
  <si>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</si>
  <si>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</si>
  <si>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</si>
  <si>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</si>
  <si>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</si>
  <si>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</si>
  <si>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</si>
  <si>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</si>
  <si>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</si>
  <si>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</si>
  <si>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</si>
  <si>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</si>
  <si>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</si>
  <si>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</si>
  <si>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</si>
  <si>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</si>
  <si>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</si>
  <si>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</si>
  <si>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</si>
  <si>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</si>
  <si>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</si>
  <si>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</si>
  <si>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</si>
  <si>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</si>
  <si>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</si>
  <si>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</si>
  <si>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</si>
  <si>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</si>
  <si>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</si>
  <si>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</si>
  <si>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</si>
  <si>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</si>
  <si>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</si>
  <si>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</si>
  <si>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</si>
  <si>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</si>
  <si>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</si>
  <si>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</si>
  <si>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</si>
  <si>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</si>
  <si>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</si>
  <si>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</si>
  <si>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</si>
  <si>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</si>
  <si>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</si>
  <si>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</si>
  <si>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</si>
  <si>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</si>
  <si>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</si>
  <si>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</si>
  <si>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</si>
  <si>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</si>
  <si>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</si>
  <si>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</si>
  <si>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</si>
  <si>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</si>
  <si>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</si>
  <si>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</si>
  <si>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</si>
  <si>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</si>
  <si>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</si>
  <si>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</si>
  <si>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</si>
  <si>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</si>
  <si>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</si>
  <si>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</si>
  <si>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</si>
  <si>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</si>
  <si>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</si>
  <si>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</si>
  <si>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</si>
  <si>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</si>
  <si>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</si>
  <si>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</si>
  <si>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</si>
  <si>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</si>
  <si>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</si>
  <si>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</si>
  <si>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</si>
  <si>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</si>
  <si>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</si>
  <si>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</si>
  <si>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</si>
  <si>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</si>
  <si>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</si>
  <si>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</si>
  <si>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</si>
  <si>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</si>
  <si>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</si>
  <si>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</si>
  <si>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</si>
  <si>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</si>
  <si>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</si>
  <si>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</si>
  <si>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</si>
  <si>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</si>
  <si>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</si>
  <si>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</si>
  <si>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</si>
  <si>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</si>
  <si>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</si>
  <si>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</si>
  <si>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</si>
  <si>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</si>
  <si>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</si>
  <si>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</si>
  <si>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</si>
  <si>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</si>
  <si>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</si>
  <si>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</si>
  <si>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</si>
  <si>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</si>
  <si>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</si>
  <si>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</si>
  <si>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</si>
  <si>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</si>
  <si>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</si>
  <si>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</si>
  <si>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</si>
  <si>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</si>
  <si>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</si>
  <si>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</si>
  <si>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</si>
  <si>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</si>
  <si>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</si>
  <si>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</si>
  <si>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</si>
  <si>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</si>
  <si>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</si>
  <si>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</si>
  <si>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</si>
  <si>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</si>
  <si>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</si>
  <si>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</si>
  <si>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</si>
  <si>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</si>
  <si>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</si>
  <si>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</si>
  <si>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</si>
  <si>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</si>
  <si>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</si>
  <si>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</si>
  <si>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</si>
  <si>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</si>
  <si>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</si>
  <si>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</si>
  <si>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</si>
  <si>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</si>
  <si>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</si>
  <si>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</si>
  <si>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</si>
  <si>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</si>
  <si>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</si>
  <si>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</si>
  <si>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</si>
  <si>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</si>
  <si>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</si>
  <si>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</si>
  <si>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</si>
  <si>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</si>
  <si>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</si>
  <si>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</si>
  <si>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</si>
  <si>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</si>
  <si>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</si>
  <si>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</si>
  <si>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</si>
  <si>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</si>
  <si>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</si>
  <si>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</si>
  <si>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</si>
  <si>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</si>
  <si>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</si>
  <si>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</si>
  <si>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</si>
  <si>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</si>
  <si>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</si>
  <si>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</si>
  <si>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</si>
  <si>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</si>
  <si>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</si>
  <si>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</si>
  <si>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</si>
  <si>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</si>
  <si>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</si>
  <si>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</si>
  <si>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</si>
  <si>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</si>
  <si>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</si>
  <si>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</si>
  <si>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</si>
  <si>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</si>
  <si>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</si>
  <si>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</si>
  <si>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</si>
  <si>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</si>
  <si>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</si>
  <si>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</si>
  <si>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</si>
  <si>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</si>
  <si>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</si>
  <si>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</si>
  <si>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</si>
  <si>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</si>
  <si>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</si>
  <si>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</si>
  <si>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</si>
  <si>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</si>
  <si>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</si>
  <si>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</si>
  <si>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</si>
  <si>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</si>
  <si>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</si>
  <si>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</si>
  <si>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</si>
  <si>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</si>
  <si>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</si>
  <si>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</si>
  <si>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</si>
  <si>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</si>
  <si>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</si>
  <si>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</si>
  <si>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</si>
  <si>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</si>
  <si>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</si>
  <si>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</si>
  <si>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Scott Street Reconstruction and Bike/Pedestrian Improvements</t>
  </si>
  <si>
    <t>Non-Freeway</t>
  </si>
  <si>
    <t>Scott Street</t>
  </si>
  <si>
    <t>I-610</t>
  </si>
  <si>
    <t>Old Spanish 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</si>
</sst>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selection activeCell="B33" sqref="B3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37" t="s">
        <v>233</v>
      </c>
      <c r="D6" s="8"/>
      <c r="E6" s="103" t="s">
        <v>187</v>
      </c>
    </row>
    <row r="7" spans="1:7" x14ac:dyDescent="0.25">
      <c r="A7" s="8" t="s">
        <v>98</v>
      </c>
      <c r="B7" s="138" t="s">
        <v>200</v>
      </c>
      <c r="D7" s="104"/>
      <c r="E7" s="103" t="s">
        <v>196</v>
      </c>
    </row>
    <row r="8" spans="1:7" x14ac:dyDescent="0.25">
      <c r="A8" s="8" t="s">
        <v>99</v>
      </c>
      <c r="B8" s="138" t="s">
        <v>234</v>
      </c>
      <c r="D8" s="105"/>
      <c r="E8" s="103" t="s">
        <v>216</v>
      </c>
    </row>
    <row r="9" spans="1:7" x14ac:dyDescent="0.25">
      <c r="A9" s="8" t="s">
        <v>100</v>
      </c>
      <c r="B9" s="138" t="s">
        <v>235</v>
      </c>
      <c r="D9" s="106"/>
      <c r="E9" s="103" t="s">
        <v>188</v>
      </c>
    </row>
    <row r="10" spans="1:7" x14ac:dyDescent="0.25">
      <c r="A10" s="8" t="s">
        <v>101</v>
      </c>
      <c r="B10" s="138" t="s">
        <v>236</v>
      </c>
    </row>
    <row r="11" spans="1:7" x14ac:dyDescent="0.25">
      <c r="A11" s="8" t="s">
        <v>102</v>
      </c>
      <c r="B11" s="138" t="s">
        <v>237</v>
      </c>
    </row>
    <row r="12" spans="1:7" x14ac:dyDescent="0.25">
      <c r="A12" s="8" t="s">
        <v>103</v>
      </c>
      <c r="B12" s="138">
        <v>1.52</v>
      </c>
    </row>
    <row r="13" spans="1:7" x14ac:dyDescent="0.25">
      <c r="A13" s="8" t="s">
        <v>68</v>
      </c>
      <c r="B13" s="138">
        <v>196</v>
      </c>
      <c r="F13" s="120"/>
    </row>
    <row r="14" spans="1:7" x14ac:dyDescent="0.25">
      <c r="A14" s="8" t="s">
        <v>69</v>
      </c>
      <c r="B14" s="138"/>
    </row>
    <row r="17" spans="1:7" x14ac:dyDescent="0.25">
      <c r="A17" s="119" t="s">
        <v>120</v>
      </c>
      <c r="E17" s="151" t="s">
        <v>231</v>
      </c>
      <c r="F17" s="152"/>
    </row>
    <row r="18" spans="1:7" x14ac:dyDescent="0.25">
      <c r="A18" s="8" t="s">
        <v>79</v>
      </c>
      <c r="B18" s="139">
        <v>2023</v>
      </c>
      <c r="E18" s="105" t="s">
        <v>232</v>
      </c>
      <c r="F18" s="145">
        <f>$B$12/$B$32</f>
        <v>5.1006711409395972E-2</v>
      </c>
    </row>
    <row r="19" spans="1:7" ht="30" x14ac:dyDescent="0.25">
      <c r="A19" s="8" t="s">
        <v>121</v>
      </c>
      <c r="B19" s="140" t="s">
        <v>105</v>
      </c>
      <c r="E19" s="107" t="s">
        <v>212</v>
      </c>
      <c r="F19" s="146">
        <f>$B$12/$B$33</f>
        <v>5.7794676806083647E-2</v>
      </c>
    </row>
    <row r="20" spans="1:7" ht="30" x14ac:dyDescent="0.25">
      <c r="A20" s="135" t="s">
        <v>208</v>
      </c>
      <c r="B20" s="136">
        <f>VLOOKUP(B19,'Delay Reduction Factors'!B4:C80,2, FALSE)</f>
        <v>0.3</v>
      </c>
      <c r="E20" s="107" t="s">
        <v>209</v>
      </c>
      <c r="F20" s="145">
        <f>$F$19-$F$18</f>
        <v>6.7879653966876757E-3</v>
      </c>
    </row>
    <row r="21" spans="1:7" x14ac:dyDescent="0.25">
      <c r="A21" s="8" t="s">
        <v>104</v>
      </c>
      <c r="B21" s="79">
        <v>50</v>
      </c>
      <c r="D21" s="121"/>
      <c r="E21" s="105" t="s">
        <v>210</v>
      </c>
      <c r="F21" s="145">
        <f>$F$20*$B$20</f>
        <v>2.0363896190063028E-3</v>
      </c>
      <c r="G21" s="122"/>
    </row>
    <row r="22" spans="1:7" s="113" customFormat="1" x14ac:dyDescent="0.25">
      <c r="D22" s="121"/>
      <c r="E22" s="105" t="s">
        <v>211</v>
      </c>
      <c r="F22" s="145">
        <f>$F$20-$F$21</f>
        <v>4.7515757776813734E-3</v>
      </c>
      <c r="G22" s="122"/>
    </row>
    <row r="23" spans="1:7" x14ac:dyDescent="0.25">
      <c r="E23" s="105" t="s">
        <v>213</v>
      </c>
      <c r="F23" s="145">
        <f>$F$18+$F$22</f>
        <v>5.5758287187077343E-2</v>
      </c>
    </row>
    <row r="24" spans="1:7" x14ac:dyDescent="0.25">
      <c r="A24" s="119" t="s">
        <v>94</v>
      </c>
      <c r="B24" s="123"/>
      <c r="D24" s="121"/>
      <c r="G24" s="124"/>
    </row>
    <row r="25" spans="1:7" x14ac:dyDescent="0.25">
      <c r="A25" s="8" t="s">
        <v>218</v>
      </c>
      <c r="B25" s="141">
        <v>22926</v>
      </c>
      <c r="D25" s="121"/>
      <c r="G25" s="124"/>
    </row>
    <row r="28" spans="1:7" x14ac:dyDescent="0.25">
      <c r="A28" s="105" t="s">
        <v>227</v>
      </c>
      <c r="B28" s="134">
        <f>IF(FacilityType='Delay Reduction Factors'!N5,'Inputs &amp; Outputs'!B25*45%, B25*43%)</f>
        <v>9858.18</v>
      </c>
      <c r="D28" s="121"/>
      <c r="E28" s="125" t="s">
        <v>95</v>
      </c>
      <c r="F28" s="126" t="s">
        <v>20</v>
      </c>
      <c r="G28" s="127" t="s">
        <v>19</v>
      </c>
    </row>
    <row r="29" spans="1:7" x14ac:dyDescent="0.25">
      <c r="A29" s="105" t="s">
        <v>228</v>
      </c>
      <c r="B29" s="115">
        <f>VLOOKUP(Year_Open_to_Traffic?,Calculations!H4:I36,2)</f>
        <v>4902.1503955957041</v>
      </c>
      <c r="D29" s="121"/>
      <c r="E29" s="107" t="s">
        <v>122</v>
      </c>
      <c r="F29" s="101">
        <f>$B$29*$F$23</f>
        <v>273.33550959187011</v>
      </c>
      <c r="G29" s="102">
        <f>$B$29*$F$19</f>
        <v>283.31819776826882</v>
      </c>
    </row>
    <row r="30" spans="1:7" x14ac:dyDescent="0.25">
      <c r="A30" s="124"/>
      <c r="B30" s="100"/>
      <c r="D30" s="121"/>
    </row>
    <row r="32" spans="1:7" x14ac:dyDescent="0.25">
      <c r="A32" s="128" t="s">
        <v>221</v>
      </c>
      <c r="B32" s="142">
        <v>29.8</v>
      </c>
      <c r="D32" s="121"/>
    </row>
    <row r="33" spans="1:7" ht="30" x14ac:dyDescent="0.25">
      <c r="A33" s="129" t="s">
        <v>222</v>
      </c>
      <c r="B33" s="143">
        <v>26.3</v>
      </c>
      <c r="D33" s="121"/>
      <c r="E33" s="121"/>
      <c r="F33" s="130"/>
      <c r="G33" s="117"/>
    </row>
    <row r="34" spans="1:7" x14ac:dyDescent="0.25">
      <c r="A34" s="131"/>
      <c r="B34" s="144"/>
      <c r="E34" s="117"/>
      <c r="F34" s="130"/>
      <c r="G34" s="130"/>
    </row>
    <row r="35" spans="1:7" x14ac:dyDescent="0.25">
      <c r="A35" s="105" t="s">
        <v>223</v>
      </c>
      <c r="B35" s="148">
        <f>$B$28</f>
        <v>9858.18</v>
      </c>
    </row>
    <row r="36" spans="1:7" x14ac:dyDescent="0.25">
      <c r="A36" s="128" t="s">
        <v>224</v>
      </c>
      <c r="B36" s="142">
        <v>11664</v>
      </c>
    </row>
    <row r="37" spans="1:7" x14ac:dyDescent="0.25">
      <c r="A37" s="128" t="s">
        <v>229</v>
      </c>
      <c r="B37" s="142">
        <v>3707</v>
      </c>
    </row>
    <row r="38" spans="1:7" x14ac:dyDescent="0.25">
      <c r="A38" s="128" t="s">
        <v>225</v>
      </c>
      <c r="B38" s="142">
        <v>11664</v>
      </c>
    </row>
    <row r="39" spans="1:7" x14ac:dyDescent="0.25">
      <c r="A39" s="128" t="s">
        <v>230</v>
      </c>
      <c r="B39" s="142">
        <v>4752</v>
      </c>
    </row>
    <row r="40" spans="1:7" x14ac:dyDescent="0.25">
      <c r="A40" s="128" t="s">
        <v>226</v>
      </c>
      <c r="B40" s="142">
        <v>11664</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723.58152001067015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71067.232493886229</v>
      </c>
      <c r="F4" s="22">
        <f>'Inputs &amp; Outputs'!G29*Annual_Days_of_Travel</f>
        <v>73662.731419749893</v>
      </c>
      <c r="H4" s="59">
        <v>2018</v>
      </c>
      <c r="I4" s="60">
        <f>'Inputs &amp; Outputs'!B28</f>
        <v>9858.18</v>
      </c>
      <c r="J4" s="60">
        <f>IF(H4=Year_Open_to_Traffic?,$F$4,0)</f>
        <v>0</v>
      </c>
      <c r="K4" s="60">
        <f>IF(H4=Year_Open_to_Traffic?,Calculations!$E$4,0)</f>
        <v>0</v>
      </c>
      <c r="L4" s="60">
        <f>IF(AND(H4&gt;=Year_Open_to_Traffic?, Calculations!H4&lt;Year_Open_to_Traffic?+'Inputs &amp; Outputs'!B$21), 1, 0)</f>
        <v>0</v>
      </c>
      <c r="M4" s="81" t="s">
        <v>75</v>
      </c>
      <c r="N4" s="82">
        <f>MIN(E8,1)</f>
        <v>0.84518004115226342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-0.13040311080255662</v>
      </c>
      <c r="F5" s="28"/>
      <c r="H5" s="15">
        <f t="shared" ref="H5:H36" si="3">H4+1</f>
        <v>2019</v>
      </c>
      <c r="I5" s="97">
        <f>(I4*M5)+I4</f>
        <v>8572.642661148453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-0.13040311080255662</v>
      </c>
      <c r="N5" s="87">
        <f t="shared" ref="N5:N11" si="6">N4*(1+IFERROR(_2018_2025_V_C_Growth,_2018_2045_V_C_Growth))</f>
        <v>0.73496593459777548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1.2494545571922533E-2</v>
      </c>
      <c r="F6" s="28"/>
      <c r="H6" s="59">
        <f t="shared" si="3"/>
        <v>2020</v>
      </c>
      <c r="I6" s="97">
        <f t="shared" ref="I6:I36" si="10">(I5*M6)+I5</f>
        <v>7454.743390335987</v>
      </c>
      <c r="J6" s="60">
        <f t="shared" si="4"/>
        <v>0</v>
      </c>
      <c r="K6" s="60">
        <f>IF(H6=Year_Open_to_Traffic?,Calculations!$E$4,K5+(K5*M6))</f>
        <v>0</v>
      </c>
      <c r="L6" s="60">
        <f>IF(AND(H6&gt;=Year_Open_to_Traffic?, Calculations!H6&lt;Year_Open_to_Traffic?+'Inputs &amp; Outputs'!B$21), 1, 0)</f>
        <v>0</v>
      </c>
      <c r="M6" s="81">
        <f t="shared" si="5"/>
        <v>-0.13040311080255662</v>
      </c>
      <c r="N6" s="87">
        <f t="shared" si="6"/>
        <v>0.63912409039231721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-2.6665290691906929E-2</v>
      </c>
      <c r="F7" s="28"/>
      <c r="H7" s="15">
        <f t="shared" si="3"/>
        <v>2021</v>
      </c>
      <c r="I7" s="97">
        <f t="shared" si="10"/>
        <v>6482.6216620013765</v>
      </c>
      <c r="J7" s="60">
        <f t="shared" si="4"/>
        <v>0</v>
      </c>
      <c r="K7" s="60">
        <f>IF(H7=Year_Open_to_Traffic?,Calculations!$E$4,K6+(K6*M7))</f>
        <v>0</v>
      </c>
      <c r="L7" s="60">
        <f>IF(AND(H7&gt;=Year_Open_to_Traffic?, Calculations!H7&lt;Year_Open_to_Traffic?+'Inputs &amp; Outputs'!B$21), 1, 0)</f>
        <v>0</v>
      </c>
      <c r="M7" s="81">
        <f t="shared" si="5"/>
        <v>-0.13040311080255662</v>
      </c>
      <c r="N7" s="87">
        <f t="shared" si="6"/>
        <v>0.55578032081630468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0.84518004115226342</v>
      </c>
      <c r="F8" s="28"/>
      <c r="H8" s="59">
        <f t="shared" si="3"/>
        <v>2022</v>
      </c>
      <c r="I8" s="97">
        <f t="shared" si="10"/>
        <v>5637.2676311203577</v>
      </c>
      <c r="J8" s="60">
        <f t="shared" si="4"/>
        <v>0</v>
      </c>
      <c r="K8" s="60">
        <f>IF(H8=Year_Open_to_Traffic?,Calculations!$E$4,K7+(K7*M8))</f>
        <v>0</v>
      </c>
      <c r="L8" s="60">
        <f>IF(AND(H8&gt;=Year_Open_to_Traffic?, Calculations!H8&lt;Year_Open_to_Traffic?+'Inputs &amp; Outputs'!B$21), 1, 0)</f>
        <v>0</v>
      </c>
      <c r="M8" s="81">
        <f t="shared" si="5"/>
        <v>-0.13040311080255662</v>
      </c>
      <c r="N8" s="87">
        <f t="shared" si="6"/>
        <v>0.48330483805901564</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0.31781550068587106</v>
      </c>
      <c r="F9" s="28"/>
      <c r="H9" s="15">
        <f t="shared" si="3"/>
        <v>2023</v>
      </c>
      <c r="I9" s="97">
        <f t="shared" si="10"/>
        <v>4902.1503955957041</v>
      </c>
      <c r="J9" s="60">
        <f t="shared" si="4"/>
        <v>73662.731419749893</v>
      </c>
      <c r="K9" s="60">
        <f>IF(H9=Year_Open_to_Traffic?,Calculations!$E$4,K8+(K8*M9))</f>
        <v>71067.232493886229</v>
      </c>
      <c r="L9" s="60">
        <f>IF(AND(H9&gt;=Year_Open_to_Traffic?, Calculations!H9&lt;Year_Open_to_Traffic?+'Inputs &amp; Outputs'!B$21), 1, 0)</f>
        <v>1</v>
      </c>
      <c r="M9" s="81">
        <f t="shared" si="5"/>
        <v>-0.13040311080255662</v>
      </c>
      <c r="N9" s="87">
        <f t="shared" si="6"/>
        <v>0.42028038371019416</v>
      </c>
      <c r="O9" s="88">
        <f t="shared" si="7"/>
        <v>1</v>
      </c>
      <c r="P9" s="84">
        <f t="shared" si="8"/>
        <v>2595.4989258636633</v>
      </c>
      <c r="Q9" s="85">
        <f t="shared" si="0"/>
        <v>1</v>
      </c>
      <c r="R9" s="86">
        <f t="shared" si="1"/>
        <v>19.863344048684343</v>
      </c>
      <c r="S9" s="94">
        <f t="shared" si="2"/>
        <v>71.661850517964638</v>
      </c>
      <c r="T9" s="80">
        <f t="shared" si="9"/>
        <v>51.093909015533349</v>
      </c>
      <c r="W9" s="73"/>
    </row>
    <row r="10" spans="1:24" x14ac:dyDescent="0.25">
      <c r="D10" s="18" t="s">
        <v>82</v>
      </c>
      <c r="E10" s="23">
        <f>_2045_PeakVolume/_2045_Capacity</f>
        <v>0.40740740740740738</v>
      </c>
      <c r="F10" s="28"/>
      <c r="H10" s="59">
        <f t="shared" si="3"/>
        <v>2024</v>
      </c>
      <c r="I10" s="97">
        <f t="shared" si="10"/>
        <v>4262.8947343880409</v>
      </c>
      <c r="J10" s="60">
        <f t="shared" si="4"/>
        <v>64056.882092401276</v>
      </c>
      <c r="K10" s="60">
        <f>IF(H10=Year_Open_to_Traffic?,Calculations!$E$4,K9+(K9*M10))</f>
        <v>61799.844300554934</v>
      </c>
      <c r="L10" s="60">
        <f>IF(AND(H10&gt;=Year_Open_to_Traffic?, Calculations!H10&lt;Year_Open_to_Traffic?+'Inputs &amp; Outputs'!B$21), 1, 0)</f>
        <v>1</v>
      </c>
      <c r="M10" s="81">
        <f t="shared" si="5"/>
        <v>-0.13040311080255662</v>
      </c>
      <c r="N10" s="87">
        <f t="shared" si="6"/>
        <v>0.3654745142650927</v>
      </c>
      <c r="O10" s="88">
        <f t="shared" si="7"/>
        <v>1</v>
      </c>
      <c r="P10" s="84">
        <f>(J10-K10)*L10</f>
        <v>2257.0377918463419</v>
      </c>
      <c r="Q10" s="85">
        <f t="shared" si="0"/>
        <v>1</v>
      </c>
      <c r="R10" s="86">
        <f t="shared" si="1"/>
        <v>20.320200961804083</v>
      </c>
      <c r="S10" s="94">
        <f t="shared" si="2"/>
        <v>63.750211497098839</v>
      </c>
      <c r="T10" s="80">
        <f t="shared" si="9"/>
        <v>42.479457697749844</v>
      </c>
      <c r="W10" s="73"/>
    </row>
    <row r="11" spans="1:24" ht="30" customHeight="1" x14ac:dyDescent="0.25">
      <c r="A11" s="153" t="s">
        <v>219</v>
      </c>
      <c r="B11" s="154"/>
      <c r="D11" s="18" t="s">
        <v>70</v>
      </c>
      <c r="E11" s="46">
        <f>(E9/E8)^(1/(2025-2018))-1</f>
        <v>-0.13040311080255662</v>
      </c>
      <c r="F11" s="28"/>
      <c r="H11" s="15">
        <f t="shared" si="3"/>
        <v>2025</v>
      </c>
      <c r="I11" s="97">
        <f t="shared" si="10"/>
        <v>3707.0000000000018</v>
      </c>
      <c r="J11" s="60">
        <f t="shared" si="4"/>
        <v>55703.665399239566</v>
      </c>
      <c r="K11" s="60">
        <f>IF(H11=Year_Open_to_Traffic?,Calculations!$E$4,K10+(K10*M11))</f>
        <v>53740.952356648922</v>
      </c>
      <c r="L11" s="60">
        <f>IF(AND(H11&gt;=Year_Open_to_Traffic?, Calculations!H11&lt;Year_Open_to_Traffic?+'Inputs &amp; Outputs'!B$21), 1, 0)</f>
        <v>1</v>
      </c>
      <c r="M11" s="81">
        <f t="shared" si="5"/>
        <v>-0.13040311080255662</v>
      </c>
      <c r="N11" s="87">
        <f t="shared" si="6"/>
        <v>0.31781550068587128</v>
      </c>
      <c r="O11" s="88">
        <f t="shared" si="7"/>
        <v>1</v>
      </c>
      <c r="P11" s="84">
        <f t="shared" si="8"/>
        <v>1962.7130425906435</v>
      </c>
      <c r="Q11" s="85">
        <f t="shared" si="0"/>
        <v>1</v>
      </c>
      <c r="R11" s="86">
        <f t="shared" si="1"/>
        <v>20.787565583925574</v>
      </c>
      <c r="S11" s="94">
        <f t="shared" si="2"/>
        <v>56.712036272437956</v>
      </c>
      <c r="T11" s="80">
        <f t="shared" si="9"/>
        <v>35.317405950410304</v>
      </c>
      <c r="W11" s="73"/>
    </row>
    <row r="12" spans="1:24" x14ac:dyDescent="0.25">
      <c r="A12" s="18" t="s">
        <v>205</v>
      </c>
      <c r="B12" s="19">
        <v>0.45</v>
      </c>
      <c r="D12" s="18" t="s">
        <v>83</v>
      </c>
      <c r="E12" s="46">
        <f>(E10/E9)^(1/(2045-2025))-1</f>
        <v>1.2494545571922533E-2</v>
      </c>
      <c r="F12" s="28"/>
      <c r="H12" s="59">
        <v>2026</v>
      </c>
      <c r="I12" s="97">
        <f t="shared" si="10"/>
        <v>3753.3172804351188</v>
      </c>
      <c r="J12" s="60">
        <f t="shared" si="4"/>
        <v>56399.657385093487</v>
      </c>
      <c r="K12" s="60">
        <f>IF(H12=Year_Open_to_Traffic?,Calculations!$E$4,K11+(K11*M12))</f>
        <v>54412.421134947588</v>
      </c>
      <c r="L12" s="60">
        <f>IF(AND(H12&gt;=Year_Open_to_Traffic?, Calculations!H12&lt;Year_Open_to_Traffic?+'Inputs &amp; Outputs'!B$21), 1, 0)</f>
        <v>1</v>
      </c>
      <c r="M12" s="81">
        <f t="shared" ref="M12:M36" si="11">IFERROR(_2025_2045_Demand_Growth,_2018_2045_Demand_Growth)</f>
        <v>1.2494545571922533E-2</v>
      </c>
      <c r="N12" s="87">
        <f t="shared" ref="N12:N36" si="12">N11*(1+IFERROR(_2025_2045_V_C_Growth,_2018_2045_V_C_Growth))</f>
        <v>0.32178646094265428</v>
      </c>
      <c r="O12" s="88">
        <f t="shared" si="7"/>
        <v>1</v>
      </c>
      <c r="P12" s="84">
        <f t="shared" si="8"/>
        <v>1987.2362501458992</v>
      </c>
      <c r="Q12" s="85">
        <f t="shared" si="0"/>
        <v>1</v>
      </c>
      <c r="R12" s="86">
        <f t="shared" si="1"/>
        <v>21.265679592355859</v>
      </c>
      <c r="S12" s="94">
        <f t="shared" si="2"/>
        <v>58.741301824185228</v>
      </c>
      <c r="T12" s="80">
        <f t="shared" si="9"/>
        <v>34.187972475678706</v>
      </c>
      <c r="W12" s="73"/>
    </row>
    <row r="13" spans="1:24" x14ac:dyDescent="0.25">
      <c r="A13" s="18" t="s">
        <v>206</v>
      </c>
      <c r="B13" s="19">
        <v>0.43</v>
      </c>
      <c r="D13" s="18" t="s">
        <v>84</v>
      </c>
      <c r="E13" s="46">
        <f>(E10/E8)^(1/(2045-2018))-1</f>
        <v>-2.6665290691906929E-2</v>
      </c>
      <c r="F13" s="28"/>
      <c r="H13" s="15">
        <f t="shared" si="3"/>
        <v>2027</v>
      </c>
      <c r="I13" s="97">
        <f t="shared" si="10"/>
        <v>3800.2132742413996</v>
      </c>
      <c r="J13" s="60">
        <f t="shared" si="4"/>
        <v>57104.345474532354</v>
      </c>
      <c r="K13" s="60">
        <f>IF(H13=Year_Open_to_Traffic?,Calculations!$E$4,K12+(K12*M13))</f>
        <v>55092.279610496829</v>
      </c>
      <c r="L13" s="60">
        <f>IF(AND(H13&gt;=Year_Open_to_Traffic?, Calculations!H13&lt;Year_Open_to_Traffic?+'Inputs &amp; Outputs'!B$21), 1, 0)</f>
        <v>1</v>
      </c>
      <c r="M13" s="81">
        <f t="shared" si="11"/>
        <v>1.2494545571922533E-2</v>
      </c>
      <c r="N13" s="87">
        <f t="shared" si="12"/>
        <v>0.32580703654332993</v>
      </c>
      <c r="O13" s="88">
        <f t="shared" si="7"/>
        <v>1</v>
      </c>
      <c r="P13" s="84">
        <f t="shared" si="8"/>
        <v>2012.065864035525</v>
      </c>
      <c r="Q13" s="85">
        <f t="shared" si="0"/>
        <v>1</v>
      </c>
      <c r="R13" s="86">
        <f t="shared" si="1"/>
        <v>21.754790222980041</v>
      </c>
      <c r="S13" s="94">
        <f t="shared" si="2"/>
        <v>60.843178393807577</v>
      </c>
      <c r="T13" s="80">
        <f t="shared" si="9"/>
        <v>33.094657734458728</v>
      </c>
      <c r="W13" s="73"/>
    </row>
    <row r="14" spans="1:24" x14ac:dyDescent="0.25">
      <c r="H14" s="59">
        <f>H13+1</f>
        <v>2028</v>
      </c>
      <c r="I14" s="97">
        <f t="shared" si="10"/>
        <v>3847.6952121794338</v>
      </c>
      <c r="J14" s="60">
        <f t="shared" si="4"/>
        <v>57817.838321418705</v>
      </c>
      <c r="K14" s="60">
        <f>IF(H14=Year_Open_to_Traffic?,Calculations!$E$4,K13+(K13*M14))</f>
        <v>55780.632608751279</v>
      </c>
      <c r="L14" s="60">
        <f>IF(AND(H14&gt;=Year_Open_to_Traffic?, Calculations!H14&lt;Year_Open_to_Traffic?+'Inputs &amp; Outputs'!B$21), 1, 0)</f>
        <v>1</v>
      </c>
      <c r="M14" s="81">
        <f t="shared" si="11"/>
        <v>1.2494545571922533E-2</v>
      </c>
      <c r="N14" s="87">
        <f t="shared" si="12"/>
        <v>0.32987784740907361</v>
      </c>
      <c r="O14" s="88">
        <f t="shared" si="7"/>
        <v>1</v>
      </c>
      <c r="P14" s="84">
        <f t="shared" si="8"/>
        <v>2037.2057126674263</v>
      </c>
      <c r="Q14" s="85">
        <f t="shared" si="0"/>
        <v>1</v>
      </c>
      <c r="R14" s="86">
        <f t="shared" si="1"/>
        <v>22.255150398108579</v>
      </c>
      <c r="S14" s="94">
        <f t="shared" si="2"/>
        <v>63.02026414294636</v>
      </c>
      <c r="T14" s="80">
        <f t="shared" si="9"/>
        <v>32.036306667209722</v>
      </c>
      <c r="W14" s="73"/>
    </row>
    <row r="15" spans="1:24" x14ac:dyDescent="0.25">
      <c r="H15" s="15">
        <f t="shared" si="3"/>
        <v>2029</v>
      </c>
      <c r="I15" s="97">
        <f t="shared" si="10"/>
        <v>3895.770415354878</v>
      </c>
      <c r="J15" s="60">
        <f t="shared" si="4"/>
        <v>58540.245937195723</v>
      </c>
      <c r="K15" s="60">
        <f>IF(H15=Year_Open_to_Traffic?,Calculations!$E$4,K14+(K14*M15))</f>
        <v>56477.586264911988</v>
      </c>
      <c r="L15" s="60">
        <f>IF(AND(H15&gt;=Year_Open_to_Traffic?, Calculations!H15&lt;Year_Open_to_Traffic?+'Inputs &amp; Outputs'!B$21), 1, 0)</f>
        <v>1</v>
      </c>
      <c r="M15" s="81">
        <f t="shared" si="11"/>
        <v>1.2494545571922533E-2</v>
      </c>
      <c r="N15" s="87">
        <f t="shared" si="12"/>
        <v>0.33399952120669396</v>
      </c>
      <c r="O15" s="88">
        <f t="shared" si="7"/>
        <v>1</v>
      </c>
      <c r="P15" s="84">
        <f t="shared" si="8"/>
        <v>2062.6596722837348</v>
      </c>
      <c r="Q15" s="85">
        <f t="shared" si="0"/>
        <v>1</v>
      </c>
      <c r="R15" s="86">
        <f t="shared" si="1"/>
        <v>22.767018857265079</v>
      </c>
      <c r="S15" s="94">
        <f t="shared" si="2"/>
        <v>65.275250200455545</v>
      </c>
      <c r="T15" s="80">
        <f t="shared" si="9"/>
        <v>31.011801152633801</v>
      </c>
      <c r="W15" s="73"/>
    </row>
    <row r="16" spans="1:24" x14ac:dyDescent="0.25">
      <c r="H16" s="59">
        <f t="shared" si="3"/>
        <v>2030</v>
      </c>
      <c r="I16" s="97">
        <f t="shared" si="10"/>
        <v>3944.446296347277</v>
      </c>
      <c r="J16" s="60">
        <f t="shared" si="4"/>
        <v>59271.679707849566</v>
      </c>
      <c r="K16" s="60">
        <f>IF(H16=Year_Open_to_Traffic?,Calculations!$E$4,K15+(K15*M16))</f>
        <v>57183.248040291117</v>
      </c>
      <c r="L16" s="60">
        <f>IF(AND(H16&gt;=Year_Open_to_Traffic?, Calculations!H16&lt;Year_Open_to_Traffic?+'Inputs &amp; Outputs'!B$21), 1, 0)</f>
        <v>1</v>
      </c>
      <c r="M16" s="81">
        <f t="shared" si="11"/>
        <v>1.2494545571922533E-2</v>
      </c>
      <c r="N16" s="87">
        <f t="shared" si="12"/>
        <v>0.33817269344541129</v>
      </c>
      <c r="O16" s="88">
        <f t="shared" si="7"/>
        <v>1</v>
      </c>
      <c r="P16" s="84">
        <f t="shared" si="8"/>
        <v>2088.4316675584487</v>
      </c>
      <c r="Q16" s="85">
        <f t="shared" si="0"/>
        <v>1</v>
      </c>
      <c r="R16" s="86">
        <f t="shared" si="1"/>
        <v>23.290660290982171</v>
      </c>
      <c r="S16" s="94">
        <f t="shared" si="2"/>
        <v>67.610923988946197</v>
      </c>
      <c r="T16" s="80">
        <f t="shared" si="9"/>
        <v>30.02005882640843</v>
      </c>
      <c r="W16" s="73"/>
    </row>
    <row r="17" spans="1:23" x14ac:dyDescent="0.25">
      <c r="A17" s="29"/>
      <c r="H17" s="15">
        <f t="shared" si="3"/>
        <v>2031</v>
      </c>
      <c r="I17" s="97">
        <f t="shared" si="10"/>
        <v>3993.730360352989</v>
      </c>
      <c r="J17" s="60">
        <f t="shared" si="4"/>
        <v>60012.252411083689</v>
      </c>
      <c r="K17" s="60">
        <f>IF(H17=Year_Open_to_Traffic?,Calculations!$E$4,K16+(K16*M17))</f>
        <v>57897.726738881087</v>
      </c>
      <c r="L17" s="60">
        <f>IF(AND(H17&gt;=Year_Open_to_Traffic?, Calculations!H17&lt;Year_Open_to_Traffic?+'Inputs &amp; Outputs'!B$21), 1, 0)</f>
        <v>1</v>
      </c>
      <c r="M17" s="81">
        <f t="shared" si="11"/>
        <v>1.2494545571922533E-2</v>
      </c>
      <c r="N17" s="87">
        <f t="shared" si="12"/>
        <v>0.34239800757484479</v>
      </c>
      <c r="O17" s="88">
        <f t="shared" si="7"/>
        <v>1</v>
      </c>
      <c r="P17" s="84">
        <f t="shared" si="8"/>
        <v>2114.5256722026024</v>
      </c>
      <c r="Q17" s="85">
        <f t="shared" si="0"/>
        <v>1</v>
      </c>
      <c r="R17" s="86">
        <f t="shared" si="1"/>
        <v>23.82634547767476</v>
      </c>
      <c r="S17" s="94">
        <f t="shared" si="2"/>
        <v>70.0301726703632</v>
      </c>
      <c r="T17" s="80">
        <f t="shared" si="9"/>
        <v>29.06003193769622</v>
      </c>
      <c r="W17" s="73"/>
    </row>
    <row r="18" spans="1:23" x14ac:dyDescent="0.25">
      <c r="H18" s="59">
        <f t="shared" si="3"/>
        <v>2032</v>
      </c>
      <c r="I18" s="97">
        <f t="shared" si="10"/>
        <v>4043.63020634239</v>
      </c>
      <c r="J18" s="60">
        <f t="shared" si="4"/>
        <v>60762.078233707689</v>
      </c>
      <c r="K18" s="60">
        <f>IF(H18=Year_Open_to_Traffic?,Calculations!$E$4,K17+(K17*M18))</f>
        <v>58621.132524130757</v>
      </c>
      <c r="L18" s="60">
        <f>IF(AND(H18&gt;=Year_Open_to_Traffic?, Calculations!H18&lt;Year_Open_to_Traffic?+'Inputs &amp; Outputs'!B$21), 1, 0)</f>
        <v>1</v>
      </c>
      <c r="M18" s="81">
        <f t="shared" si="11"/>
        <v>1.2494545571922533E-2</v>
      </c>
      <c r="N18" s="87">
        <f t="shared" si="12"/>
        <v>0.34667611508422413</v>
      </c>
      <c r="O18" s="88">
        <f t="shared" si="7"/>
        <v>1</v>
      </c>
      <c r="P18" s="84">
        <f t="shared" si="8"/>
        <v>2140.9457095769321</v>
      </c>
      <c r="Q18" s="85">
        <f t="shared" si="0"/>
        <v>1</v>
      </c>
      <c r="R18" s="86">
        <f t="shared" si="1"/>
        <v>24.374351423661277</v>
      </c>
      <c r="S18" s="94">
        <f t="shared" si="2"/>
        <v>72.535986714849116</v>
      </c>
      <c r="T18" s="80">
        <f t="shared" si="9"/>
        <v>28.130706242222118</v>
      </c>
      <c r="W18" s="73"/>
    </row>
    <row r="19" spans="1:23" x14ac:dyDescent="0.25">
      <c r="H19" s="15">
        <f t="shared" si="3"/>
        <v>2033</v>
      </c>
      <c r="I19" s="97">
        <f t="shared" si="10"/>
        <v>4094.1535282315376</v>
      </c>
      <c r="J19" s="60">
        <f t="shared" si="4"/>
        <v>61521.27278924347</v>
      </c>
      <c r="K19" s="60">
        <f>IF(H19=Year_Open_to_Traffic?,Calculations!$E$4,K18+(K18*M19))</f>
        <v>59353.576935931218</v>
      </c>
      <c r="L19" s="60">
        <f>IF(AND(H19&gt;=Year_Open_to_Traffic?, Calculations!H19&lt;Year_Open_to_Traffic?+'Inputs &amp; Outputs'!B$21), 1, 0)</f>
        <v>1</v>
      </c>
      <c r="M19" s="81">
        <f t="shared" si="11"/>
        <v>1.2494545571922533E-2</v>
      </c>
      <c r="N19" s="87">
        <f t="shared" si="12"/>
        <v>0.35100767560284102</v>
      </c>
      <c r="O19" s="88">
        <f t="shared" si="7"/>
        <v>1</v>
      </c>
      <c r="P19" s="84">
        <f t="shared" si="8"/>
        <v>2167.6958533122524</v>
      </c>
      <c r="Q19" s="85">
        <f t="shared" si="0"/>
        <v>1</v>
      </c>
      <c r="R19" s="86">
        <f t="shared" si="1"/>
        <v>24.934961506405479</v>
      </c>
      <c r="S19" s="94">
        <f t="shared" si="2"/>
        <v>75.131463597310756</v>
      </c>
      <c r="T19" s="80">
        <f t="shared" si="9"/>
        <v>27.231099930750126</v>
      </c>
      <c r="W19" s="73"/>
    </row>
    <row r="20" spans="1:23" x14ac:dyDescent="0.25">
      <c r="H20" s="59">
        <f t="shared" si="3"/>
        <v>2034</v>
      </c>
      <c r="I20" s="97">
        <f t="shared" si="10"/>
        <v>4145.3081160684742</v>
      </c>
      <c r="J20" s="60">
        <f t="shared" si="4"/>
        <v>62289.953135751348</v>
      </c>
      <c r="K20" s="60">
        <f>IF(H20=Year_Open_to_Traffic?,Calculations!$E$4,K19+(K19*M20))</f>
        <v>60095.172907813823</v>
      </c>
      <c r="L20" s="60">
        <f>IF(AND(H20&gt;=Year_Open_to_Traffic?, Calculations!H20&lt;Year_Open_to_Traffic?+'Inputs &amp; Outputs'!B$21), 1, 0)</f>
        <v>1</v>
      </c>
      <c r="M20" s="81">
        <f t="shared" si="11"/>
        <v>1.2494545571922533E-2</v>
      </c>
      <c r="N20" s="87">
        <f t="shared" si="12"/>
        <v>0.35539335700175534</v>
      </c>
      <c r="O20" s="88">
        <f t="shared" si="7"/>
        <v>1</v>
      </c>
      <c r="P20" s="84">
        <f t="shared" si="8"/>
        <v>2194.7802279375246</v>
      </c>
      <c r="Q20" s="85">
        <f t="shared" si="0"/>
        <v>1</v>
      </c>
      <c r="R20" s="86">
        <f t="shared" si="1"/>
        <v>25.508465621052807</v>
      </c>
      <c r="S20" s="94">
        <f t="shared" si="2"/>
        <v>77.81981162625398</v>
      </c>
      <c r="T20" s="80">
        <f t="shared" si="9"/>
        <v>26.360262591826153</v>
      </c>
      <c r="W20" s="73"/>
    </row>
    <row r="21" spans="1:23" x14ac:dyDescent="0.25">
      <c r="H21" s="15">
        <f t="shared" si="3"/>
        <v>2035</v>
      </c>
      <c r="I21" s="97">
        <f t="shared" si="10"/>
        <v>4197.1018572343519</v>
      </c>
      <c r="J21" s="60">
        <f t="shared" si="4"/>
        <v>63068.237793878914</v>
      </c>
      <c r="K21" s="60">
        <f>IF(H21=Year_Open_to_Traffic?,Calculations!$E$4,K20+(K20*M21))</f>
        <v>60846.034784363066</v>
      </c>
      <c r="L21" s="60">
        <f>IF(AND(H21&gt;=Year_Open_to_Traffic?, Calculations!H21&lt;Year_Open_to_Traffic?+'Inputs &amp; Outputs'!B$21), 1, 0)</f>
        <v>1</v>
      </c>
      <c r="M21" s="81">
        <f t="shared" si="11"/>
        <v>1.2494545571922533E-2</v>
      </c>
      <c r="N21" s="87">
        <f t="shared" si="12"/>
        <v>0.35983383549677228</v>
      </c>
      <c r="O21" s="88">
        <f t="shared" si="7"/>
        <v>1</v>
      </c>
      <c r="P21" s="84">
        <f t="shared" si="8"/>
        <v>2222.203009515848</v>
      </c>
      <c r="Q21" s="85">
        <f t="shared" si="0"/>
        <v>1</v>
      </c>
      <c r="R21" s="86">
        <f t="shared" si="1"/>
        <v>26.095160330337016</v>
      </c>
      <c r="S21" s="94">
        <f t="shared" si="2"/>
        <v>80.604353909624137</v>
      </c>
      <c r="T21" s="80">
        <f t="shared" si="9"/>
        <v>25.517274207692676</v>
      </c>
      <c r="W21" s="73"/>
    </row>
    <row r="22" spans="1:23" x14ac:dyDescent="0.25">
      <c r="H22" s="59">
        <f>H21+1</f>
        <v>2036</v>
      </c>
      <c r="I22" s="97">
        <f t="shared" si="10"/>
        <v>4249.5427376595671</v>
      </c>
      <c r="J22" s="60">
        <f t="shared" si="4"/>
        <v>63856.24676513538</v>
      </c>
      <c r="K22" s="60">
        <f>IF(H22=Year_Open_to_Traffic?,Calculations!$E$4,K21+(K21*M22))</f>
        <v>61606.278338847071</v>
      </c>
      <c r="L22" s="60">
        <f>IF(AND(H22&gt;=Year_Open_to_Traffic?, Calculations!H22&lt;Year_Open_to_Traffic?+'Inputs &amp; Outputs'!B$21), 1, 0)</f>
        <v>1</v>
      </c>
      <c r="M22" s="81">
        <f t="shared" si="11"/>
        <v>1.2494545571922533E-2</v>
      </c>
      <c r="N22" s="87">
        <f t="shared" si="12"/>
        <v>0.36432979575270635</v>
      </c>
      <c r="O22" s="88">
        <f t="shared" si="7"/>
        <v>1</v>
      </c>
      <c r="P22" s="84">
        <f t="shared" si="8"/>
        <v>2249.9684262883093</v>
      </c>
      <c r="Q22" s="85">
        <f t="shared" si="0"/>
        <v>1</v>
      </c>
      <c r="R22" s="86">
        <f t="shared" si="1"/>
        <v>26.695349017934767</v>
      </c>
      <c r="S22" s="94">
        <f t="shared" si="2"/>
        <v>83.48853246254879</v>
      </c>
      <c r="T22" s="80">
        <f t="shared" si="9"/>
        <v>24.701244182312575</v>
      </c>
      <c r="W22" s="73"/>
    </row>
    <row r="23" spans="1:23" x14ac:dyDescent="0.25">
      <c r="H23" s="15">
        <f t="shared" si="3"/>
        <v>2037</v>
      </c>
      <c r="I23" s="97">
        <f t="shared" si="10"/>
        <v>4302.6388430550869</v>
      </c>
      <c r="J23" s="60">
        <f t="shared" si="4"/>
        <v>64654.101550394298</v>
      </c>
      <c r="K23" s="60">
        <f>IF(H23=Year_Open_to_Traffic?,Calculations!$E$4,K22+(K22*M23))</f>
        <v>62376.020791068338</v>
      </c>
      <c r="L23" s="60">
        <f>IF(AND(H23&gt;=Year_Open_to_Traffic?, Calculations!H23&lt;Year_Open_to_Traffic?+'Inputs &amp; Outputs'!B$21), 1, 0)</f>
        <v>1</v>
      </c>
      <c r="M23" s="81">
        <f t="shared" si="11"/>
        <v>1.2494545571922533E-2</v>
      </c>
      <c r="N23" s="87">
        <f t="shared" si="12"/>
        <v>0.36888193098894778</v>
      </c>
      <c r="O23" s="88">
        <f t="shared" si="7"/>
        <v>1</v>
      </c>
      <c r="P23" s="84">
        <f t="shared" si="8"/>
        <v>2278.0807593259597</v>
      </c>
      <c r="Q23" s="85">
        <f t="shared" si="0"/>
        <v>1</v>
      </c>
      <c r="R23" s="86">
        <f t="shared" si="1"/>
        <v>27.309342045347261</v>
      </c>
      <c r="S23" s="94">
        <f t="shared" si="2"/>
        <v>86.47591246206629</v>
      </c>
      <c r="T23" s="80">
        <f t="shared" si="9"/>
        <v>23.91131040047723</v>
      </c>
      <c r="W23" s="73"/>
    </row>
    <row r="24" spans="1:23" x14ac:dyDescent="0.25">
      <c r="H24" s="59">
        <f t="shared" si="3"/>
        <v>2038</v>
      </c>
      <c r="I24" s="97">
        <f t="shared" si="10"/>
        <v>4356.3983601591626</v>
      </c>
      <c r="J24" s="60">
        <f t="shared" si="4"/>
        <v>65461.925168627407</v>
      </c>
      <c r="K24" s="60">
        <f>IF(H24=Year_Open_to_Traffic?,Calculations!$E$4,K23+(K23*M24))</f>
        <v>63155.380825437533</v>
      </c>
      <c r="L24" s="60">
        <f>IF(AND(H24&gt;=Year_Open_to_Traffic?, Calculations!H24&lt;Year_Open_to_Traffic?+'Inputs &amp; Outputs'!B$21), 1, 0)</f>
        <v>1</v>
      </c>
      <c r="M24" s="81">
        <f t="shared" si="11"/>
        <v>1.2494545571922533E-2</v>
      </c>
      <c r="N24" s="87">
        <f t="shared" si="12"/>
        <v>0.37349094308634795</v>
      </c>
      <c r="O24" s="88">
        <f t="shared" si="7"/>
        <v>1</v>
      </c>
      <c r="P24" s="84">
        <f>(J24-K24)*L24</f>
        <v>2306.5443431898748</v>
      </c>
      <c r="Q24" s="85">
        <f t="shared" si="0"/>
        <v>1</v>
      </c>
      <c r="R24" s="86">
        <f t="shared" si="1"/>
        <v>27.93745691239025</v>
      </c>
      <c r="S24" s="94">
        <f t="shared" si="2"/>
        <v>89.570186654094584</v>
      </c>
      <c r="T24" s="80">
        <f t="shared" si="9"/>
        <v>23.146638317003212</v>
      </c>
      <c r="W24" s="73"/>
    </row>
    <row r="25" spans="1:23" x14ac:dyDescent="0.25">
      <c r="H25" s="15">
        <f t="shared" si="3"/>
        <v>2039</v>
      </c>
      <c r="I25" s="97">
        <f t="shared" si="10"/>
        <v>4410.8295779996197</v>
      </c>
      <c r="J25" s="60">
        <f t="shared" si="4"/>
        <v>66279.842175872604</v>
      </c>
      <c r="K25" s="60">
        <f>IF(H25=Year_Open_to_Traffic?,Calculations!$E$4,K24+(K24*M25))</f>
        <v>63944.478609273086</v>
      </c>
      <c r="L25" s="60">
        <f>IF(AND(H25&gt;=Year_Open_to_Traffic?, Calculations!H25&lt;Year_Open_to_Traffic?+'Inputs &amp; Outputs'!B$21), 1, 0)</f>
        <v>1</v>
      </c>
      <c r="M25" s="81">
        <f t="shared" si="11"/>
        <v>1.2494545571922533E-2</v>
      </c>
      <c r="N25" s="87">
        <f t="shared" si="12"/>
        <v>0.37815754269544066</v>
      </c>
      <c r="O25" s="88">
        <f t="shared" si="7"/>
        <v>1</v>
      </c>
      <c r="P25" s="84">
        <f t="shared" si="8"/>
        <v>2335.3635665995171</v>
      </c>
      <c r="Q25" s="85">
        <f t="shared" si="0"/>
        <v>1</v>
      </c>
      <c r="R25" s="86">
        <f t="shared" si="1"/>
        <v>28.580018421375218</v>
      </c>
      <c r="S25" s="94">
        <f t="shared" si="2"/>
        <v>92.775179918091581</v>
      </c>
      <c r="T25" s="80">
        <f t="shared" si="9"/>
        <v>22.406420075056523</v>
      </c>
      <c r="W25" s="73"/>
    </row>
    <row r="26" spans="1:23" x14ac:dyDescent="0.25">
      <c r="H26" s="59">
        <f t="shared" si="3"/>
        <v>2040</v>
      </c>
      <c r="I26" s="97">
        <f t="shared" si="10"/>
        <v>4465.9408891719195</v>
      </c>
      <c r="J26" s="60">
        <f t="shared" si="4"/>
        <v>67107.978684438873</v>
      </c>
      <c r="K26" s="60">
        <f>IF(H26=Year_Open_to_Traffic?,Calculations!$E$4,K25+(K25*M26))</f>
        <v>64743.435811329473</v>
      </c>
      <c r="L26" s="60">
        <f>IF(AND(H26&gt;=Year_Open_to_Traffic?, Calculations!H26&lt;Year_Open_to_Traffic?+'Inputs &amp; Outputs'!B$21), 1, 0)</f>
        <v>1</v>
      </c>
      <c r="M26" s="81">
        <f t="shared" si="11"/>
        <v>1.2494545571922533E-2</v>
      </c>
      <c r="N26" s="87">
        <f t="shared" si="12"/>
        <v>0.38288244934601506</v>
      </c>
      <c r="O26" s="88">
        <f t="shared" si="7"/>
        <v>1</v>
      </c>
      <c r="P26" s="84">
        <f t="shared" si="8"/>
        <v>2364.5428731093998</v>
      </c>
      <c r="Q26" s="85">
        <f t="shared" si="0"/>
        <v>1</v>
      </c>
      <c r="R26" s="86">
        <f t="shared" si="1"/>
        <v>29.237358845066851</v>
      </c>
      <c r="S26" s="94">
        <f t="shared" si="2"/>
        <v>96.094853995046407</v>
      </c>
      <c r="T26" s="80">
        <f t="shared" si="9"/>
        <v>21.689873652672023</v>
      </c>
      <c r="W26" s="73"/>
    </row>
    <row r="27" spans="1:23" x14ac:dyDescent="0.25">
      <c r="H27" s="15">
        <f t="shared" si="3"/>
        <v>2041</v>
      </c>
      <c r="I27" s="97">
        <f t="shared" si="10"/>
        <v>4521.7407911331902</v>
      </c>
      <c r="J27" s="60">
        <f t="shared" si="4"/>
        <v>67946.462382351194</v>
      </c>
      <c r="K27" s="60">
        <f>IF(H27=Year_Open_to_Traffic?,Calculations!$E$4,K26+(K26*M27))</f>
        <v>65552.375620556966</v>
      </c>
      <c r="L27" s="60">
        <f>IF(AND(H27&gt;=Year_Open_to_Traffic?, Calculations!H27&lt;Year_Open_to_Traffic?+'Inputs &amp; Outputs'!B$21), 1, 0)</f>
        <v>1</v>
      </c>
      <c r="M27" s="81">
        <f t="shared" si="11"/>
        <v>1.2494545571922533E-2</v>
      </c>
      <c r="N27" s="87">
        <f t="shared" si="12"/>
        <v>0.38766639155805815</v>
      </c>
      <c r="O27" s="88">
        <f t="shared" si="7"/>
        <v>1</v>
      </c>
      <c r="P27" s="84">
        <f t="shared" si="8"/>
        <v>2394.0867617942276</v>
      </c>
      <c r="Q27" s="85">
        <f t="shared" si="0"/>
        <v>1</v>
      </c>
      <c r="R27" s="86">
        <f t="shared" si="1"/>
        <v>29.909818098503379</v>
      </c>
      <c r="S27" s="94">
        <f t="shared" si="2"/>
        <v>99.533312384647459</v>
      </c>
      <c r="T27" s="80">
        <f t="shared" si="9"/>
        <v>20.996242036566784</v>
      </c>
      <c r="W27" s="73"/>
    </row>
    <row r="28" spans="1:23" x14ac:dyDescent="0.25">
      <c r="H28" s="59">
        <f t="shared" si="3"/>
        <v>2042</v>
      </c>
      <c r="I28" s="97">
        <f t="shared" si="10"/>
        <v>4578.237887512425</v>
      </c>
      <c r="J28" s="60">
        <f t="shared" si="4"/>
        <v>68795.422553038399</v>
      </c>
      <c r="K28" s="60">
        <f>IF(H28=Year_Open_to_Traffic?,Calculations!$E$4,K27+(K27*M28))</f>
        <v>66371.422765095806</v>
      </c>
      <c r="L28" s="60">
        <f>IF(AND(H28&gt;=Year_Open_to_Traffic?, Calculations!H28&lt;Year_Open_to_Traffic?+'Inputs &amp; Outputs'!B$21), 1, 0)</f>
        <v>1</v>
      </c>
      <c r="M28" s="81">
        <f t="shared" si="11"/>
        <v>1.2494545571922533E-2</v>
      </c>
      <c r="N28" s="87">
        <f t="shared" si="12"/>
        <v>0.39251010695408306</v>
      </c>
      <c r="O28" s="88">
        <f t="shared" si="7"/>
        <v>1</v>
      </c>
      <c r="P28" s="84">
        <f t="shared" si="8"/>
        <v>2423.9997879425937</v>
      </c>
      <c r="Q28" s="85">
        <f t="shared" si="0"/>
        <v>1</v>
      </c>
      <c r="R28" s="86">
        <f t="shared" si="1"/>
        <v>30.597743914768959</v>
      </c>
      <c r="S28" s="94">
        <f t="shared" si="2"/>
        <v>103.09480541768121</v>
      </c>
      <c r="T28" s="80">
        <f t="shared" si="9"/>
        <v>20.32479242237471</v>
      </c>
      <c r="W28" s="73"/>
    </row>
    <row r="29" spans="1:23" x14ac:dyDescent="0.25">
      <c r="H29" s="15">
        <f t="shared" si="3"/>
        <v>2043</v>
      </c>
      <c r="I29" s="97">
        <f t="shared" si="10"/>
        <v>4635.4408894370517</v>
      </c>
      <c r="J29" s="60">
        <f t="shared" si="4"/>
        <v>69654.990095267</v>
      </c>
      <c r="K29" s="60">
        <f>IF(H29=Year_Open_to_Traffic?,Calculations!$E$4,K28+(K28*M29))</f>
        <v>67200.703531507635</v>
      </c>
      <c r="L29" s="60">
        <f>IF(AND(H29&gt;=Year_Open_to_Traffic?, Calculations!H29&lt;Year_Open_to_Traffic?+'Inputs &amp; Outputs'!B$21), 1, 0)</f>
        <v>1</v>
      </c>
      <c r="M29" s="81">
        <f t="shared" si="11"/>
        <v>1.2494545571922533E-2</v>
      </c>
      <c r="N29" s="87">
        <f t="shared" si="12"/>
        <v>0.39741434237286105</v>
      </c>
      <c r="O29" s="88">
        <f t="shared" si="7"/>
        <v>1</v>
      </c>
      <c r="P29" s="84">
        <f t="shared" si="8"/>
        <v>2454.2865637593641</v>
      </c>
      <c r="Q29" s="85">
        <f t="shared" si="0"/>
        <v>1</v>
      </c>
      <c r="R29" s="86">
        <f t="shared" si="1"/>
        <v>31.301492024808638</v>
      </c>
      <c r="S29" s="94">
        <f t="shared" si="2"/>
        <v>106.78373550993113</v>
      </c>
      <c r="T29" s="80">
        <f t="shared" si="9"/>
        <v>19.674815440457181</v>
      </c>
      <c r="W29" s="73"/>
    </row>
    <row r="30" spans="1:23" x14ac:dyDescent="0.25">
      <c r="H30" s="15">
        <f t="shared" si="3"/>
        <v>2044</v>
      </c>
      <c r="I30" s="97">
        <f t="shared" si="10"/>
        <v>4693.3586168760758</v>
      </c>
      <c r="J30" s="60">
        <f t="shared" si="4"/>
        <v>70525.297543324123</v>
      </c>
      <c r="K30" s="60">
        <f>IF(H30=Year_Open_to_Traffic?,Calculations!$E$4,K29+(K29*M30))</f>
        <v>68040.345784247314</v>
      </c>
      <c r="L30" s="60">
        <f>IF(AND(H30&gt;=Year_Open_to_Traffic?, Calculations!H30&lt;Year_Open_to_Traffic?+'Inputs &amp; Outputs'!B$21), 1, 0)</f>
        <v>1</v>
      </c>
      <c r="M30" s="81">
        <f t="shared" si="11"/>
        <v>1.2494545571922533E-2</v>
      </c>
      <c r="N30" s="87">
        <f t="shared" si="12"/>
        <v>0.40237985398457438</v>
      </c>
      <c r="O30" s="88">
        <f t="shared" si="7"/>
        <v>1</v>
      </c>
      <c r="P30" s="84">
        <f t="shared" si="8"/>
        <v>2484.9517590768082</v>
      </c>
      <c r="Q30" s="85">
        <f t="shared" si="0"/>
        <v>1</v>
      </c>
      <c r="R30" s="86">
        <f t="shared" si="1"/>
        <v>32.021426341379232</v>
      </c>
      <c r="S30" s="94">
        <f t="shared" si="2"/>
        <v>110.60466260407068</v>
      </c>
      <c r="T30" s="80">
        <f t="shared" si="9"/>
        <v>19.045624406471809</v>
      </c>
      <c r="W30" s="73"/>
    </row>
    <row r="31" spans="1:23" x14ac:dyDescent="0.25">
      <c r="H31" s="15">
        <f t="shared" si="3"/>
        <v>2045</v>
      </c>
      <c r="I31" s="97">
        <f t="shared" si="10"/>
        <v>4752.0000000000091</v>
      </c>
      <c r="J31" s="60">
        <f t="shared" si="4"/>
        <v>71406.479087452579</v>
      </c>
      <c r="K31" s="60">
        <f>IF(H31=Year_Open_to_Traffic?,Calculations!$E$4,K30+(K30*M31))</f>
        <v>68890.478985377966</v>
      </c>
      <c r="L31" s="60">
        <f>IF(AND(H31&gt;=Year_Open_to_Traffic?, Calculations!H31&lt;Year_Open_to_Traffic?+'Inputs &amp; Outputs'!B$21), 1, 0)</f>
        <v>1</v>
      </c>
      <c r="M31" s="81">
        <f t="shared" si="11"/>
        <v>1.2494545571922533E-2</v>
      </c>
      <c r="N31" s="87">
        <f t="shared" si="12"/>
        <v>0.40740740740740816</v>
      </c>
      <c r="O31" s="88">
        <f t="shared" si="7"/>
        <v>1</v>
      </c>
      <c r="P31" s="84">
        <f t="shared" si="8"/>
        <v>2516.0001020746131</v>
      </c>
      <c r="Q31" s="85">
        <f t="shared" si="0"/>
        <v>1</v>
      </c>
      <c r="R31" s="86">
        <f t="shared" si="1"/>
        <v>32.757919147230957</v>
      </c>
      <c r="S31" s="94">
        <f t="shared" si="2"/>
        <v>114.56230980627716</v>
      </c>
      <c r="T31" s="80">
        <f t="shared" si="9"/>
        <v>18.436554595907559</v>
      </c>
      <c r="W31" s="73"/>
    </row>
    <row r="32" spans="1:23" x14ac:dyDescent="0.25">
      <c r="H32" s="15">
        <f t="shared" si="3"/>
        <v>2046</v>
      </c>
      <c r="I32" s="97">
        <f t="shared" si="10"/>
        <v>4811.3740805577854</v>
      </c>
      <c r="J32" s="60">
        <f t="shared" si="4"/>
        <v>72298.670594541283</v>
      </c>
      <c r="K32" s="60">
        <f>IF(H32=Year_Open_to_Traffic?,Calculations!$E$4,K31+(K31*M32))</f>
        <v>69751.234214532349</v>
      </c>
      <c r="L32" s="60">
        <f>IF(AND(H32&gt;=Year_Open_to_Traffic?, Calculations!H32&lt;Year_Open_to_Traffic?+'Inputs &amp; Outputs'!B$21), 1, 0)</f>
        <v>1</v>
      </c>
      <c r="M32" s="81">
        <f t="shared" si="11"/>
        <v>1.2494545571922533E-2</v>
      </c>
      <c r="N32" s="87">
        <f t="shared" si="12"/>
        <v>0.41249777782559882</v>
      </c>
      <c r="O32" s="88">
        <f t="shared" si="7"/>
        <v>1</v>
      </c>
      <c r="P32" s="84">
        <f t="shared" si="8"/>
        <v>2547.4363800089341</v>
      </c>
      <c r="Q32" s="85">
        <f t="shared" si="0"/>
        <v>1</v>
      </c>
      <c r="R32" s="86">
        <f t="shared" si="1"/>
        <v>33.511351287617266</v>
      </c>
      <c r="S32" s="94">
        <f t="shared" si="2"/>
        <v>118.66156922453629</v>
      </c>
      <c r="T32" s="80">
        <f t="shared" si="9"/>
        <v>17.846962541820254</v>
      </c>
      <c r="W32" s="73"/>
    </row>
    <row r="33" spans="8:23" x14ac:dyDescent="0.25">
      <c r="H33" s="15">
        <f t="shared" si="3"/>
        <v>2047</v>
      </c>
      <c r="I33" s="97">
        <f t="shared" si="10"/>
        <v>4871.4900132708817</v>
      </c>
      <c r="J33" s="60">
        <f t="shared" si="4"/>
        <v>73202.009629074193</v>
      </c>
      <c r="K33" s="60">
        <f>IF(H33=Year_Open_to_Traffic?,Calculations!$E$4,K32+(K32*M33))</f>
        <v>70622.744189123667</v>
      </c>
      <c r="L33" s="60">
        <f>IF(AND(H33&gt;=Year_Open_to_Traffic?, Calculations!H33&lt;Year_Open_to_Traffic?+'Inputs &amp; Outputs'!B$21), 1, 0)</f>
        <v>1</v>
      </c>
      <c r="M33" s="81">
        <f t="shared" si="11"/>
        <v>1.2494545571922533E-2</v>
      </c>
      <c r="N33" s="87">
        <f t="shared" si="12"/>
        <v>0.41765175010895755</v>
      </c>
      <c r="O33" s="88">
        <f t="shared" si="7"/>
        <v>1</v>
      </c>
      <c r="P33" s="84">
        <f t="shared" si="8"/>
        <v>2579.2654399505263</v>
      </c>
      <c r="Q33" s="85">
        <f t="shared" si="0"/>
        <v>1</v>
      </c>
      <c r="R33" s="86">
        <f t="shared" si="1"/>
        <v>34.282112367232457</v>
      </c>
      <c r="S33" s="94">
        <f t="shared" si="2"/>
        <v>122.90750801585145</v>
      </c>
      <c r="T33" s="80">
        <f t="shared" si="9"/>
        <v>17.276225355025836</v>
      </c>
      <c r="W33" s="73"/>
    </row>
    <row r="34" spans="8:23" x14ac:dyDescent="0.25">
      <c r="H34" s="15">
        <f t="shared" si="3"/>
        <v>2048</v>
      </c>
      <c r="I34" s="97">
        <f t="shared" si="10"/>
        <v>4932.3570672448604</v>
      </c>
      <c r="J34" s="60">
        <f t="shared" si="4"/>
        <v>74116.635474340976</v>
      </c>
      <c r="K34" s="60">
        <f>IF(H34=Year_Open_to_Traffic?,Calculations!$E$4,K33+(K33*M34))</f>
        <v>71505.143284808903</v>
      </c>
      <c r="L34" s="60">
        <f>IF(AND(H34&gt;=Year_Open_to_Traffic?, Calculations!H34&lt;Year_Open_to_Traffic?+'Inputs &amp; Outputs'!B$21), 1, 0)</f>
        <v>1</v>
      </c>
      <c r="M34" s="81">
        <f t="shared" si="11"/>
        <v>1.2494545571922533E-2</v>
      </c>
      <c r="N34" s="87">
        <f t="shared" si="12"/>
        <v>0.42287011893388715</v>
      </c>
      <c r="O34" s="88">
        <f t="shared" si="7"/>
        <v>1</v>
      </c>
      <c r="P34" s="84">
        <f t="shared" si="8"/>
        <v>2611.4921895320731</v>
      </c>
      <c r="Q34" s="85">
        <f t="shared" si="0"/>
        <v>1</v>
      </c>
      <c r="R34" s="86">
        <f t="shared" si="1"/>
        <v>35.070600951678806</v>
      </c>
      <c r="S34" s="94">
        <f t="shared" si="2"/>
        <v>127.30537464983233</v>
      </c>
      <c r="T34" s="80">
        <f t="shared" si="9"/>
        <v>16.723740066033471</v>
      </c>
      <c r="W34" s="73"/>
    </row>
    <row r="35" spans="8:23" x14ac:dyDescent="0.25">
      <c r="H35" s="15">
        <f t="shared" si="3"/>
        <v>2049</v>
      </c>
      <c r="I35" s="97">
        <f t="shared" si="10"/>
        <v>4993.9846273985459</v>
      </c>
      <c r="J35" s="60">
        <f t="shared" si="4"/>
        <v>75042.689153912695</v>
      </c>
      <c r="K35" s="60">
        <f>IF(H35=Year_Open_to_Traffic?,Calculations!$E$4,K34+(K34*M35))</f>
        <v>72398.567556207796</v>
      </c>
      <c r="L35" s="60">
        <f>IF(AND(H35&gt;=Year_Open_to_Traffic?, Calculations!H35&lt;Year_Open_to_Traffic?+'Inputs &amp; Outputs'!B$21), 1, 0)</f>
        <v>1</v>
      </c>
      <c r="M35" s="81">
        <f t="shared" si="11"/>
        <v>1.2494545571922533E-2</v>
      </c>
      <c r="N35" s="87">
        <f t="shared" si="12"/>
        <v>0.42815368890591088</v>
      </c>
      <c r="O35" s="88">
        <f t="shared" si="7"/>
        <v>1</v>
      </c>
      <c r="P35" s="84">
        <f t="shared" si="8"/>
        <v>2644.1215977048996</v>
      </c>
      <c r="Q35" s="85">
        <f t="shared" si="0"/>
        <v>1</v>
      </c>
      <c r="R35" s="86">
        <f t="shared" si="1"/>
        <v>35.877224773567399</v>
      </c>
      <c r="S35" s="94">
        <f t="shared" si="2"/>
        <v>131.86060539640894</v>
      </c>
      <c r="T35" s="80">
        <f t="shared" si="9"/>
        <v>16.188922988023538</v>
      </c>
      <c r="W35" s="73"/>
    </row>
    <row r="36" spans="8:23" x14ac:dyDescent="0.25">
      <c r="H36" s="15">
        <f t="shared" si="3"/>
        <v>2050</v>
      </c>
      <c r="I36" s="97">
        <f t="shared" si="10"/>
        <v>5056.3821959110574</v>
      </c>
      <c r="J36" s="60">
        <f t="shared" si="4"/>
        <v>75980.313453385868</v>
      </c>
      <c r="K36" s="60">
        <f>IF(H36=Year_Open_to_Traffic?,Calculations!$E$4,K35+(K35*M36))</f>
        <v>73303.154757880751</v>
      </c>
      <c r="L36" s="60">
        <f>IF(AND(H36&gt;=Year_Open_to_Traffic?, Calculations!H36&lt;Year_Open_to_Traffic?+'Inputs &amp; Outputs'!B$21), 1, 0)</f>
        <v>1</v>
      </c>
      <c r="M36" s="81">
        <f t="shared" si="11"/>
        <v>1.2494545571922533E-2</v>
      </c>
      <c r="N36" s="87">
        <f t="shared" si="12"/>
        <v>0.43350327468373251</v>
      </c>
      <c r="O36" s="88">
        <f t="shared" si="7"/>
        <v>1</v>
      </c>
      <c r="P36" s="84">
        <f t="shared" si="8"/>
        <v>2677.1586955051171</v>
      </c>
      <c r="Q36" s="85">
        <f t="shared" si="0"/>
        <v>1</v>
      </c>
      <c r="R36" s="86">
        <f t="shared" si="1"/>
        <v>36.702400943359457</v>
      </c>
      <c r="S36" s="94">
        <f t="shared" si="2"/>
        <v>136.57883104568765</v>
      </c>
      <c r="T36" s="80">
        <f t="shared" si="9"/>
        <v>15.671209100197201</v>
      </c>
      <c r="W36" s="73"/>
    </row>
    <row r="37" spans="8:23" x14ac:dyDescent="0.25">
      <c r="H37" s="52"/>
      <c r="I37" s="52"/>
      <c r="J37" s="52"/>
      <c r="K37" s="52"/>
      <c r="L37" s="52"/>
      <c r="M37" s="75"/>
      <c r="N37" s="76"/>
      <c r="O37" s="77"/>
      <c r="P37" s="52"/>
      <c r="Q37" s="52"/>
      <c r="R37" s="52"/>
      <c r="S37" s="74"/>
      <c r="T37" s="80">
        <f>SUM(T4:T36)</f>
        <v>723.58152001067015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2018-10-25T00:19:17Z</dcterms:modified>
</cp:coreProperties>
</file>