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SMD - Scott\"/>
    </mc:Choice>
  </mc:AlternateContent>
  <xr:revisionPtr revIDLastSave="0" documentId="13_ncr:1_{17818336-06AC-493C-A8C5-1C92E725C5E0}" xr6:coauthVersionLast="37" xr6:coauthVersionMax="37" xr10:uidLastSave="{00000000-0000-0000-0000-000000000000}"/>
  <bookViews>
    <workbookView xWindow="8130" yWindow="0" windowWidth="2157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15" i="15"/>
  <c r="O16" i="15"/>
  <c r="O17" i="15"/>
  <c r="O18" i="15"/>
  <c r="O19" i="15"/>
  <c r="O20" i="15"/>
  <c r="O21" i="15"/>
  <c r="O36" i="15" l="1"/>
  <c r="O22" i="15"/>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s="1"/>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G19" i="7" l="1"/>
  <c r="H18" i="7"/>
  <c r="I18" i="7" s="1"/>
  <c r="J18" i="7" s="1"/>
  <c r="H27" i="5"/>
  <c r="I27" i="5" s="1"/>
  <c r="J27" i="5"/>
  <c r="K27" i="5" s="1"/>
  <c r="G28" i="5"/>
  <c r="S20" i="12"/>
  <c r="P21" i="12"/>
  <c r="Q20" i="12"/>
  <c r="M21" i="12"/>
  <c r="H28" i="5" l="1"/>
  <c r="I28" i="5" s="1"/>
  <c r="J28" i="5"/>
  <c r="K28" i="5" s="1"/>
  <c r="G29" i="5"/>
  <c r="G20" i="7"/>
  <c r="H19" i="7"/>
  <c r="I19" i="7" s="1"/>
  <c r="J19" i="7" s="1"/>
  <c r="S21" i="12"/>
  <c r="P22" i="12"/>
  <c r="Q21" i="12"/>
  <c r="M22" i="12"/>
  <c r="H20" i="7" l="1"/>
  <c r="I20" i="7" s="1"/>
  <c r="J20" i="7" s="1"/>
  <c r="G21" i="7"/>
  <c r="J29" i="5"/>
  <c r="K29" i="5" s="1"/>
  <c r="H29" i="5"/>
  <c r="S22" i="12"/>
  <c r="P23" i="12"/>
  <c r="Q22" i="12"/>
  <c r="M23" i="12"/>
  <c r="H21" i="7" l="1"/>
  <c r="I21" i="7" s="1"/>
  <c r="J21" i="7" s="1"/>
  <c r="G22" i="7"/>
  <c r="I29" i="5"/>
  <c r="B13" i="5"/>
  <c r="S23" i="12"/>
  <c r="P24" i="12"/>
  <c r="Q23" i="12"/>
  <c r="M24" i="12"/>
  <c r="T4" i="12" l="1"/>
  <c r="U4" i="12" s="1"/>
  <c r="G23" i="7"/>
  <c r="H22" i="7"/>
  <c r="I22" i="7" s="1"/>
  <c r="J22" i="7" s="1"/>
  <c r="S24" i="12"/>
  <c r="P25" i="12"/>
  <c r="Q24" i="12"/>
  <c r="M25" i="12"/>
  <c r="T5" i="12" l="1"/>
  <c r="U5" i="12" s="1"/>
  <c r="G24" i="7"/>
  <c r="H23" i="7"/>
  <c r="I23" i="7" s="1"/>
  <c r="J23" i="7" s="1"/>
  <c r="S25" i="12"/>
  <c r="P26" i="12"/>
  <c r="Q25" i="12"/>
  <c r="M26" i="12"/>
  <c r="T6" i="12" l="1"/>
  <c r="U6" i="12" s="1"/>
  <c r="H24" i="7"/>
  <c r="I24" i="7" s="1"/>
  <c r="J24" i="7" s="1"/>
  <c r="G25" i="7"/>
  <c r="S26" i="12"/>
  <c r="P27" i="12"/>
  <c r="Q26" i="12"/>
  <c r="M27" i="12"/>
  <c r="T7" i="12" l="1"/>
  <c r="U7" i="12" s="1"/>
  <c r="H25" i="7"/>
  <c r="I25" i="7" s="1"/>
  <c r="J25" i="7" s="1"/>
  <c r="G26" i="7"/>
  <c r="S27" i="12"/>
  <c r="P28" i="12"/>
  <c r="Q27" i="12"/>
  <c r="M28" i="12"/>
  <c r="G27" i="7" l="1"/>
  <c r="H26" i="7"/>
  <c r="I26" i="7" s="1"/>
  <c r="J26" i="7" s="1"/>
  <c r="S28" i="12"/>
  <c r="P29" i="12"/>
  <c r="Q28" i="12"/>
  <c r="M29" i="12"/>
  <c r="G28" i="7" l="1"/>
  <c r="H27" i="7"/>
  <c r="I27" i="7" s="1"/>
  <c r="J27" i="7" s="1"/>
  <c r="Q29" i="12"/>
  <c r="P30" i="12"/>
  <c r="Q30" i="12" s="1"/>
  <c r="M30" i="12"/>
  <c r="S29" i="12"/>
  <c r="H28" i="7" l="1"/>
  <c r="I28" i="7"/>
  <c r="J28" i="7" s="1"/>
  <c r="G29" i="7"/>
  <c r="P31" i="12"/>
  <c r="Q31" i="12" s="1"/>
  <c r="S30" i="12"/>
  <c r="M31" i="12"/>
  <c r="M32" i="12" s="1"/>
  <c r="H29" i="7" l="1"/>
  <c r="I29" i="7" s="1"/>
  <c r="J29" i="7" s="1"/>
  <c r="B11" i="7" s="1"/>
  <c r="B12" i="7" s="1"/>
  <c r="M33" i="12"/>
  <c r="S32" i="12"/>
  <c r="P32" i="12"/>
  <c r="Q32" i="12" s="1"/>
  <c r="S31" i="12"/>
  <c r="M34" i="12" l="1"/>
  <c r="S33" i="12"/>
  <c r="P33" i="12"/>
  <c r="Q33" i="12" s="1"/>
  <c r="S34" i="12" l="1"/>
  <c r="M35" i="12"/>
  <c r="P34" i="12"/>
  <c r="Q34" i="12" s="1"/>
  <c r="M36" i="12" l="1"/>
  <c r="E4" i="12" s="1"/>
  <c r="E5" i="12" s="1"/>
  <c r="E6" i="12" s="1"/>
  <c r="S35" i="12"/>
  <c r="P35" i="12"/>
  <c r="Q35" i="12" s="1"/>
  <c r="E21" i="12" l="1"/>
  <c r="H26" i="12" s="1"/>
  <c r="E17" i="12"/>
  <c r="D26" i="12" s="1"/>
  <c r="E19" i="12"/>
  <c r="F26" i="12" s="1"/>
  <c r="E22" i="12"/>
  <c r="I26" i="12" s="1"/>
  <c r="E18" i="12"/>
  <c r="E26" i="12" s="1"/>
  <c r="E20" i="12"/>
  <c r="G26" i="12" s="1"/>
  <c r="S36" i="12"/>
  <c r="P36" i="12"/>
  <c r="Q36" i="12" s="1"/>
  <c r="F32" i="12" l="1"/>
  <c r="F29" i="12"/>
  <c r="F28" i="12"/>
  <c r="F33" i="12"/>
  <c r="F31" i="12"/>
  <c r="F27" i="12"/>
  <c r="F30" i="12"/>
  <c r="D29" i="12"/>
  <c r="D28" i="12"/>
  <c r="D30" i="12"/>
  <c r="D27" i="12"/>
  <c r="D31" i="12"/>
  <c r="D32" i="12"/>
  <c r="D33" i="12"/>
  <c r="I27" i="12"/>
  <c r="I29" i="12"/>
  <c r="I31" i="12"/>
  <c r="I30" i="12"/>
  <c r="I28" i="12"/>
  <c r="I33" i="12"/>
  <c r="I32" i="12"/>
  <c r="G27" i="12"/>
  <c r="G29" i="12"/>
  <c r="G32" i="12"/>
  <c r="G30" i="12"/>
  <c r="G28" i="12"/>
  <c r="G31" i="12"/>
  <c r="G33" i="12"/>
  <c r="E29" i="12"/>
  <c r="E33" i="12"/>
  <c r="E31" i="12"/>
  <c r="E27" i="12"/>
  <c r="E32" i="12"/>
  <c r="E28" i="12"/>
  <c r="E30" i="12"/>
  <c r="H32" i="12"/>
  <c r="H30" i="12"/>
  <c r="H31" i="12"/>
  <c r="H29" i="12"/>
  <c r="H27" i="12"/>
  <c r="H33" i="12"/>
  <c r="H28" i="12"/>
  <c r="J29" i="12" l="1"/>
  <c r="J33" i="12"/>
  <c r="J32" i="12"/>
  <c r="J31" i="12"/>
  <c r="J27" i="12"/>
  <c r="J30" i="12"/>
  <c r="J28" i="12"/>
  <c r="J5" i="12" l="1"/>
  <c r="R8" i="12" s="1"/>
  <c r="T8" i="12" s="1"/>
  <c r="U8" i="12" s="1"/>
  <c r="R9" i="12" l="1"/>
  <c r="T9" i="12" s="1"/>
  <c r="U9" i="12" s="1"/>
  <c r="R10" i="12" l="1"/>
  <c r="R11" i="12" s="1"/>
  <c r="T10" i="12" l="1"/>
  <c r="U10" i="12" s="1"/>
  <c r="R12" i="12"/>
  <c r="T11" i="12"/>
  <c r="U11" i="12" s="1"/>
  <c r="R13" i="12" l="1"/>
  <c r="T12" i="12"/>
  <c r="U12" i="12" s="1"/>
  <c r="R14" i="12" l="1"/>
  <c r="T13" i="12"/>
  <c r="U13" i="12" s="1"/>
  <c r="R15" i="12" l="1"/>
  <c r="T14" i="12"/>
  <c r="U14" i="12" s="1"/>
  <c r="T15" i="12" l="1"/>
  <c r="U15" i="12" s="1"/>
  <c r="R16" i="12"/>
  <c r="T16" i="12" l="1"/>
  <c r="U16" i="12" s="1"/>
  <c r="R17" i="12"/>
  <c r="T17" i="12" l="1"/>
  <c r="U17" i="12" s="1"/>
  <c r="R18" i="12"/>
  <c r="R19" i="12" l="1"/>
  <c r="T18" i="12"/>
  <c r="U18" i="12" s="1"/>
  <c r="R20" i="12" l="1"/>
  <c r="T19" i="12"/>
  <c r="U19" i="12" s="1"/>
  <c r="R21" i="12" l="1"/>
  <c r="T20" i="12"/>
  <c r="U20" i="12" s="1"/>
  <c r="T21" i="12" l="1"/>
  <c r="U21" i="12" s="1"/>
  <c r="R22" i="12"/>
  <c r="R23" i="12" l="1"/>
  <c r="T22" i="12"/>
  <c r="U22" i="12" s="1"/>
  <c r="R24" i="12" l="1"/>
  <c r="T23" i="12"/>
  <c r="U23" i="12" s="1"/>
  <c r="R25" i="12" l="1"/>
  <c r="T24" i="12"/>
  <c r="U24" i="12" s="1"/>
  <c r="R26" i="12" l="1"/>
  <c r="T25" i="12"/>
  <c r="U25" i="12" s="1"/>
  <c r="T26" i="12" l="1"/>
  <c r="U26" i="12" s="1"/>
  <c r="R27" i="12"/>
  <c r="T27" i="12" l="1"/>
  <c r="U27" i="12" s="1"/>
  <c r="R28" i="12"/>
  <c r="R29" i="12" l="1"/>
  <c r="T28" i="12"/>
  <c r="U28" i="12" s="1"/>
  <c r="R30" i="12" l="1"/>
  <c r="T29" i="12"/>
  <c r="U29" i="12" s="1"/>
  <c r="R31" i="12" l="1"/>
  <c r="T30" i="12"/>
  <c r="U30" i="12" s="1"/>
  <c r="R32" i="12" l="1"/>
  <c r="T31" i="12"/>
  <c r="U31" i="12" s="1"/>
  <c r="R33" i="12" l="1"/>
  <c r="T32" i="12"/>
  <c r="U32" i="12" s="1"/>
  <c r="T33" i="12" l="1"/>
  <c r="U33" i="12" s="1"/>
  <c r="R34" i="12"/>
  <c r="T34" i="12" l="1"/>
  <c r="U34" i="12" s="1"/>
  <c r="R35" i="12"/>
  <c r="R36" i="12" l="1"/>
  <c r="T36" i="12" s="1"/>
  <c r="U36" i="12" s="1"/>
  <c r="U37" i="12" s="1"/>
  <c r="C37" i="11" s="1"/>
  <c r="T35" i="12"/>
  <c r="U35" i="12"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<sst xmlns="http://schemas.openxmlformats.org/spreadsheetml/2006/main" count="440" uniqueCount="285">
  <si>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</si>
  <si>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</si>
  <si>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</si>
  <si>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</si>
  <si>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</si>
  <si>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</si>
  <si>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</si>
  <si>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</si>
  <si>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</si>
  <si>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</si>
  <si>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</si>
  <si>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</si>
  <si>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</si>
  <si>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</si>
  <si>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</si>
  <si>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</si>
  <si>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</si>
  <si>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</si>
  <si>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</si>
  <si>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</si>
  <si>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</si>
  <si>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</si>
  <si>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</si>
  <si>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</si>
  <si>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</si>
  <si>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</si>
  <si>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</si>
  <si>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</si>
  <si>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</si>
  <si>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</si>
  <si>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</si>
  <si>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</si>
  <si>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</si>
  <si>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</si>
  <si>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</si>
  <si>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</si>
  <si>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</si>
  <si>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</si>
  <si>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</si>
  <si>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</si>
  <si>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</si>
  <si>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</si>
  <si>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</si>
  <si>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</si>
  <si>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</si>
  <si>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</si>
  <si>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</si>
  <si>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</si>
  <si>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</si>
  <si>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</si>
  <si>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</si>
  <si>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</si>
  <si>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</si>
  <si>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</si>
  <si>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</si>
  <si>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</si>
  <si>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</si>
  <si>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</si>
  <si>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</si>
  <si>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</si>
  <si>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</si>
  <si>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</si>
  <si>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</si>
  <si>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</si>
  <si>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</si>
  <si>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</si>
  <si>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</si>
  <si>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</si>
  <si>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</si>
  <si>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</si>
  <si>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</si>
  <si>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</si>
  <si>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</si>
  <si>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</si>
  <si>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</si>
  <si>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</si>
  <si>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</si>
  <si>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</si>
  <si>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</si>
  <si>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</si>
  <si>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</si>
  <si>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</si>
  <si>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</si>
  <si>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</si>
  <si>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</si>
  <si>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</si>
  <si>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</si>
  <si>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</si>
  <si>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</si>
  <si>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</si>
  <si>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</si>
  <si>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</si>
  <si>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</si>
  <si>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</si>
  <si>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</si>
  <si>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</si>
  <si>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</si>
  <si>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</si>
  <si>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</si>
  <si>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</si>
  <si>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</si>
  <si>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</si>
  <si>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</si>
  <si>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</si>
  <si>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</si>
  <si>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</si>
  <si>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</si>
  <si>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</si>
  <si>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</si>
  <si>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</si>
  <si>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</si>
  <si>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</si>
  <si>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</si>
  <si>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</si>
  <si>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</si>
  <si>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</si>
  <si>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</si>
  <si>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</si>
  <si>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</si>
  <si>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</si>
  <si>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</si>
  <si>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</si>
  <si>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</si>
  <si>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</si>
  <si>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</si>
  <si>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</si>
  <si>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</si>
  <si>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</si>
  <si>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</si>
  <si>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</si>
  <si>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</si>
  <si>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</si>
  <si>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</si>
  <si>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</si>
  <si>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</si>
  <si>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</si>
  <si>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</si>
  <si>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</si>
  <si>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</si>
  <si>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</si>
  <si>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</si>
  <si>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</si>
  <si>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</si>
  <si>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</si>
  <si>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</si>
  <si>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</si>
  <si>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</si>
  <si>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</si>
  <si>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</si>
  <si>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</si>
  <si>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</si>
  <si>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</si>
  <si>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</si>
  <si>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</si>
  <si>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</si>
  <si>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</si>
  <si>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</si>
  <si>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</si>
  <si>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</si>
  <si>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</si>
  <si>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</si>
  <si>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</si>
  <si>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</si>
  <si>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</si>
  <si>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</si>
  <si>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</si>
  <si>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</si>
  <si>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</si>
  <si>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</si>
  <si>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</si>
  <si>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</si>
  <si>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</si>
  <si>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</si>
  <si>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</si>
  <si>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</si>
  <si>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</si>
  <si>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</si>
  <si>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</si>
  <si>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</si>
  <si>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</si>
  <si>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</si>
  <si>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</si>
  <si>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</si>
  <si>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</si>
  <si>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</si>
  <si>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</si>
  <si>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</si>
  <si>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</si>
  <si>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</si>
  <si>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</si>
  <si>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</si>
  <si>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</si>
  <si>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</si>
  <si>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</si>
  <si>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</si>
  <si>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</si>
  <si>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</si>
  <si>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</si>
  <si>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</si>
  <si>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</si>
  <si>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</si>
  <si>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</si>
  <si>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</si>
  <si>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</si>
  <si>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</si>
  <si>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</si>
  <si>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</si>
  <si>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</si>
  <si>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</si>
  <si>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</si>
  <si>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</si>
  <si>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</si>
  <si>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</si>
  <si>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</si>
  <si>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</si>
  <si>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</si>
  <si>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</si>
  <si>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</si>
  <si>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</si>
  <si>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</si>
  <si>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</si>
  <si>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</si>
  <si>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</si>
  <si>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</si>
  <si>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</si>
  <si>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</si>
  <si>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</si>
  <si>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</si>
  <si>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</si>
  <si>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</si>
  <si>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</si>
  <si>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</si>
  <si>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</si>
  <si>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</si>
  <si>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</si>
  <si>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</si>
  <si>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</si>
  <si>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</si>
  <si>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</si>
  <si>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</si>
  <si>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</si>
  <si>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</si>
  <si>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</si>
  <si>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</si>
  <si>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</si>
  <si>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</si>
  <si>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</si>
  <si>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</si>
  <si>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</si>
  <si>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</si>
  <si>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</si>
  <si>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</si>
  <si>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</si>
  <si>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</si>
  <si>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</si>
  <si>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</si>
  <si>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</si>
  <si>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</si>
  <si>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</si>
  <si>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</si>
  <si>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</si>
  <si>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</si>
  <si>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</si>
  <si>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</si>
  <si>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</si>
  <si>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</si>
  <si>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</si>
  <si>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</si>
  <si>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</si>
  <si>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</si>
  <si>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</si>
  <si>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</si>
  <si>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</si>
  <si>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</si>
  <si>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</si>
  <si>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</si>
  <si>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</si>
  <si>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</si>
  <si>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</si>
  <si>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</si>
  <si>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</si>
  <si>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Scott Street Reconstruction and Bike/Pedestrian Improvements</t>
  </si>
  <si>
    <t>Scott Street</t>
  </si>
  <si>
    <t>I-610</t>
  </si>
  <si>
    <t>Old Spanish Trail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</si>
</sst>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gchoudc01\TGC_Projects\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topLeftCell="B7" zoomScaleNormal="100" workbookViewId="0">
      <selection activeCell="G24" sqref="G24"/>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45" x14ac:dyDescent="0.25">
      <c r="B6" s="4" t="s">
        <v>166</v>
      </c>
      <c r="C6" s="120" t="s">
        <v>281</v>
      </c>
      <c r="D6" s="94"/>
    </row>
    <row r="7" spans="2:19" x14ac:dyDescent="0.25">
      <c r="B7" s="4" t="s">
        <v>117</v>
      </c>
      <c r="C7" s="121" t="s">
        <v>118</v>
      </c>
      <c r="D7" s="64"/>
      <c r="E7" s="4"/>
      <c r="F7" t="s">
        <v>257</v>
      </c>
    </row>
    <row r="8" spans="2:19" x14ac:dyDescent="0.25">
      <c r="B8" s="4" t="s">
        <v>126</v>
      </c>
      <c r="C8" s="121" t="s">
        <v>128</v>
      </c>
      <c r="D8" s="64"/>
      <c r="E8" s="86"/>
      <c r="F8" t="s">
        <v>263</v>
      </c>
    </row>
    <row r="9" spans="2:19" x14ac:dyDescent="0.25">
      <c r="B9" s="4" t="s">
        <v>167</v>
      </c>
      <c r="C9" s="121" t="s">
        <v>282</v>
      </c>
      <c r="D9" s="64"/>
      <c r="E9" s="122"/>
      <c r="F9" t="s">
        <v>268</v>
      </c>
    </row>
    <row r="10" spans="2:19" x14ac:dyDescent="0.25">
      <c r="B10" s="4" t="s">
        <v>114</v>
      </c>
      <c r="C10" s="121" t="s">
        <v>283</v>
      </c>
      <c r="D10" s="64"/>
      <c r="E10" s="9"/>
      <c r="F10" t="s">
        <v>258</v>
      </c>
    </row>
    <row r="11" spans="2:19" x14ac:dyDescent="0.25">
      <c r="B11" s="4" t="s">
        <v>115</v>
      </c>
      <c r="C11" s="121" t="s">
        <v>284</v>
      </c>
      <c r="D11" s="64"/>
    </row>
    <row r="12" spans="2:19" x14ac:dyDescent="0.25">
      <c r="B12" s="4" t="s">
        <v>116</v>
      </c>
      <c r="C12" s="121">
        <v>1.52</v>
      </c>
      <c r="D12" s="95"/>
      <c r="N12" s="180"/>
      <c r="O12" s="180"/>
      <c r="P12" s="180"/>
      <c r="Q12" s="180"/>
      <c r="R12" s="180"/>
      <c r="S12" s="180"/>
    </row>
    <row r="13" spans="2:19" x14ac:dyDescent="0.25">
      <c r="B13" s="4" t="s">
        <v>77</v>
      </c>
      <c r="C13" s="121">
        <v>196</v>
      </c>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2023</v>
      </c>
      <c r="D17" s="96"/>
    </row>
    <row r="18" spans="2:13" ht="30" x14ac:dyDescent="0.25">
      <c r="B18" s="4" t="s">
        <v>259</v>
      </c>
      <c r="C18" s="120" t="s">
        <v>237</v>
      </c>
      <c r="D18" s="26"/>
    </row>
    <row r="19" spans="2:13" x14ac:dyDescent="0.25">
      <c r="B19" s="122" t="s">
        <v>251</v>
      </c>
      <c r="C19" s="174">
        <f>VLOOKUP(C18,'CRF Lookup Table'!C3:F84,2, FALSE)</f>
        <v>501</v>
      </c>
      <c r="D19" s="97"/>
    </row>
    <row r="20" spans="2:13" x14ac:dyDescent="0.25">
      <c r="B20" s="122" t="s">
        <v>102</v>
      </c>
      <c r="C20" s="175">
        <f>VLOOKUP(C18,'CRF Lookup Table'!C3:F84,3, FALSE)</f>
        <v>0.15</v>
      </c>
      <c r="D20" s="98"/>
      <c r="F20" s="68"/>
    </row>
    <row r="21" spans="2:13" x14ac:dyDescent="0.25">
      <c r="B21" s="122" t="s">
        <v>101</v>
      </c>
      <c r="C21" s="176">
        <f>VLOOKUP(C18,'CRF Lookup Table'!C3:F84,4, FALSE)</f>
        <v>20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22926</v>
      </c>
      <c r="D25" s="99"/>
      <c r="I25" s="49"/>
    </row>
    <row r="26" spans="2:13" x14ac:dyDescent="0.25">
      <c r="I26" s="49"/>
    </row>
    <row r="27" spans="2:13" x14ac:dyDescent="0.25">
      <c r="B27" s="86" t="s">
        <v>269</v>
      </c>
      <c r="C27" s="87">
        <v>2958</v>
      </c>
      <c r="D27" s="99"/>
      <c r="I27" s="49"/>
    </row>
    <row r="28" spans="2:13" x14ac:dyDescent="0.25">
      <c r="B28" s="86" t="s">
        <v>150</v>
      </c>
      <c r="C28" s="87">
        <v>11664</v>
      </c>
      <c r="D28" s="99"/>
      <c r="I28" s="49"/>
    </row>
    <row r="29" spans="2:13" x14ac:dyDescent="0.25">
      <c r="B29" s="86" t="s">
        <v>270</v>
      </c>
      <c r="C29" s="88">
        <v>3707</v>
      </c>
      <c r="D29" s="69"/>
      <c r="I29" s="49"/>
    </row>
    <row r="30" spans="2:13" x14ac:dyDescent="0.25">
      <c r="B30" s="86" t="s">
        <v>151</v>
      </c>
      <c r="C30" s="87">
        <v>11664</v>
      </c>
      <c r="D30" s="69"/>
      <c r="I30" s="49"/>
    </row>
    <row r="31" spans="2:13" x14ac:dyDescent="0.25">
      <c r="B31" s="86" t="s">
        <v>271</v>
      </c>
      <c r="C31" s="87">
        <v>4752</v>
      </c>
      <c r="D31" s="99"/>
      <c r="H31" s="70"/>
    </row>
    <row r="32" spans="2:13" x14ac:dyDescent="0.25">
      <c r="B32" s="86" t="s">
        <v>152</v>
      </c>
      <c r="C32" s="87">
        <v>11664</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7820.9176755420276</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ColWidth="9.140625"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26936.783041818242</v>
      </c>
      <c r="G4" s="183" t="s">
        <v>260</v>
      </c>
      <c r="H4" s="183"/>
      <c r="I4" s="183"/>
      <c r="J4" s="183"/>
      <c r="L4" s="136"/>
      <c r="M4" s="137">
        <v>2018</v>
      </c>
      <c r="N4" s="138">
        <f>_2018_Volume_ADT</f>
        <v>22926</v>
      </c>
      <c r="O4" s="139" t="s">
        <v>85</v>
      </c>
      <c r="P4" s="140">
        <f>MIN(B12,1)</f>
        <v>0.25360082304526749</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20</v>
      </c>
      <c r="D5" s="134" t="s">
        <v>145</v>
      </c>
      <c r="E5" s="135">
        <f>$E$4*'Inputs &amp; Outputs'!$C$12</f>
        <v>40943.910223563726</v>
      </c>
      <c r="G5" s="184" t="s">
        <v>261</v>
      </c>
      <c r="H5" s="184"/>
      <c r="I5" s="184"/>
      <c r="J5" s="143">
        <f>SUMPRODUCT(Possible_Crash_Reductions,'Value of Statistical Life'!E5:E11)</f>
        <v>851211.6228770226</v>
      </c>
      <c r="L5" s="136"/>
      <c r="M5" s="144">
        <f t="shared" ref="M5:M36" si="1">M4+1</f>
        <v>2019</v>
      </c>
      <c r="N5" s="145">
        <f>N4+(N4*O5)</f>
        <v>23677.278152683291</v>
      </c>
      <c r="O5" s="146">
        <f t="shared" ref="O5:O11" si="2">IF(ISERROR(_2025_2045_Demand_Growth),_2018_2045_Demand_Growth,_2018_2025_Demand_Growth)</f>
        <v>3.276970045726646E-2</v>
      </c>
      <c r="P5" s="147">
        <f t="shared" ref="P5:P11" si="3">P4*(1+IFERROR(_2018_2025_V_C_Growth,_2018_2045_V_C_Growth))</f>
        <v>0.26191124605217714</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10645416.658126568</v>
      </c>
      <c r="L6" s="136"/>
      <c r="M6" s="137">
        <f t="shared" si="1"/>
        <v>2020</v>
      </c>
      <c r="N6" s="145">
        <f t="shared" ref="N6:N36" si="6">N5+(N5*O6)</f>
        <v>24453.175465390101</v>
      </c>
      <c r="O6" s="146">
        <f t="shared" si="2"/>
        <v>3.276970045726646E-2</v>
      </c>
      <c r="P6" s="147">
        <f t="shared" si="3"/>
        <v>0.27049399913169642</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25254.498700619912</v>
      </c>
      <c r="O7" s="146">
        <f t="shared" si="2"/>
        <v>3.276970045726646E-2</v>
      </c>
      <c r="P7" s="147">
        <f t="shared" si="3"/>
        <v>0.27935800645873021</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26082.081058237651</v>
      </c>
      <c r="O8" s="146">
        <f t="shared" si="2"/>
        <v>3.276970045726646E-2</v>
      </c>
      <c r="P8" s="147">
        <f t="shared" si="3"/>
        <v>0.28851248465072193</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3.276970045726646E-2</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26936.783041818242</v>
      </c>
      <c r="O9" s="146">
        <f t="shared" si="2"/>
        <v>3.276970045726646E-2</v>
      </c>
      <c r="P9" s="147">
        <f t="shared" si="3"/>
        <v>0.29796695235090775</v>
      </c>
      <c r="Q9" s="148">
        <f t="shared" si="4"/>
        <v>1</v>
      </c>
      <c r="R9" s="37">
        <f>IF(M9=Year_Open_to_Traffic?,Calculations!$J$5,Calculations!R8+(Calculations!R8*Calculations!O9*Q9))</f>
        <v>851211.6228770226</v>
      </c>
      <c r="S9" s="54">
        <f t="shared" si="0"/>
        <v>1</v>
      </c>
      <c r="T9" s="37">
        <f t="shared" si="5"/>
        <v>851.21162287702259</v>
      </c>
      <c r="U9" s="142">
        <f>T9/(1+Real_Discount_Rate)^(Calculations!M9-'Assumed Values'!$C$5)</f>
        <v>606.90212292718149</v>
      </c>
    </row>
    <row r="10" spans="1:21" ht="15.75" x14ac:dyDescent="0.25">
      <c r="A10" s="152" t="s">
        <v>106</v>
      </c>
      <c r="B10" s="153">
        <f>(_2045_Peak_Period_Volume/_2025_Peak_Period_Volume)^(1/(2045-2025))-1</f>
        <v>1.2494545571922533E-2</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27819.493353381</v>
      </c>
      <c r="O10" s="146">
        <f t="shared" si="2"/>
        <v>3.276970045726646E-2</v>
      </c>
      <c r="P10" s="147">
        <f t="shared" si="3"/>
        <v>0.30773124012561159</v>
      </c>
      <c r="Q10" s="148">
        <f t="shared" si="4"/>
        <v>1</v>
      </c>
      <c r="R10" s="37">
        <f>IF(M10=Year_Open_to_Traffic?,Calculations!$J$5,Calculations!R9+(Calculations!R9*Calculations!O10*Q10))</f>
        <v>879105.5727844463</v>
      </c>
      <c r="S10" s="54">
        <f t="shared" si="0"/>
        <v>1</v>
      </c>
      <c r="T10" s="37">
        <f t="shared" si="5"/>
        <v>879.10557278444628</v>
      </c>
      <c r="U10" s="142">
        <f>T10/(1+Real_Discount_Rate)^(Calculations!M10-'Assumed Values'!$C$5)</f>
        <v>585.78516233867697</v>
      </c>
    </row>
    <row r="11" spans="1:21" ht="15.75" x14ac:dyDescent="0.25">
      <c r="A11" s="152" t="s">
        <v>107</v>
      </c>
      <c r="B11" s="153">
        <f>(_2045_Peak_Period_Volume/'Inputs &amp; Outputs'!$C$27)^(1/(2045-2018))-1</f>
        <v>1.7712528301331076E-2</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28731.129817444209</v>
      </c>
      <c r="O11" s="146">
        <f t="shared" si="2"/>
        <v>3.276970045726646E-2</v>
      </c>
      <c r="P11" s="147">
        <f t="shared" si="3"/>
        <v>0.317815500685871</v>
      </c>
      <c r="Q11" s="148">
        <f t="shared" si="4"/>
        <v>1</v>
      </c>
      <c r="R11" s="37">
        <f>IF(M11=Year_Open_to_Traffic?,Calculations!$J$5,Calculations!R10+(Calculations!R10*Calculations!O11*Q11))</f>
        <v>907913.5990749062</v>
      </c>
      <c r="S11" s="54">
        <f t="shared" si="0"/>
        <v>1</v>
      </c>
      <c r="T11" s="37">
        <f t="shared" si="5"/>
        <v>907.91359907490619</v>
      </c>
      <c r="U11" s="142">
        <f>T11/(1+Real_Discount_Rate)^(Calculations!M11-'Assumed Values'!$C$5)</f>
        <v>565.40295947740799</v>
      </c>
    </row>
    <row r="12" spans="1:21" ht="15.75" x14ac:dyDescent="0.25">
      <c r="A12" s="152" t="s">
        <v>75</v>
      </c>
      <c r="B12" s="156">
        <f>'Inputs &amp; Outputs'!C27/_2018_Peak_Period_Capacity</f>
        <v>0.25360082304526749</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29090.112228281087</v>
      </c>
      <c r="O12" s="146">
        <f t="shared" ref="O12:O36" si="7">IFERROR(_2025_2045_Demand_Growth,_2018_2045_Demand_Growth)</f>
        <v>1.2494545571922533E-2</v>
      </c>
      <c r="P12" s="147">
        <f t="shared" ref="P12:P36" si="8">P11*(1+IFERROR(_2025_2040_V_C_Growth,_2018_2045_V_C_Growth))</f>
        <v>0.32178646094265401</v>
      </c>
      <c r="Q12" s="148">
        <f t="shared" si="4"/>
        <v>1</v>
      </c>
      <c r="R12" s="37">
        <f>IF(M12=Year_Open_to_Traffic?,Calculations!$J$5,Calculations!R11+(Calculations!R11*Calculations!O12*Q12))</f>
        <v>919257.5669139158</v>
      </c>
      <c r="S12" s="54">
        <f t="shared" si="0"/>
        <v>1</v>
      </c>
      <c r="T12" s="37">
        <f t="shared" si="5"/>
        <v>919.25756691391575</v>
      </c>
      <c r="U12" s="142">
        <f>T12/(1+Real_Discount_Rate)^(Calculations!M12-'Assumed Values'!$C$5)</f>
        <v>535.01627338420406</v>
      </c>
    </row>
    <row r="13" spans="1:21" ht="15.75" x14ac:dyDescent="0.25">
      <c r="A13" s="152" t="s">
        <v>74</v>
      </c>
      <c r="B13" s="156">
        <f>_2025_Peak_Period_Volume/_2025_Peak_Period_Capacity</f>
        <v>0.31781550068587106</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29453.579961209685</v>
      </c>
      <c r="O13" s="146">
        <f t="shared" si="7"/>
        <v>1.2494545571922533E-2</v>
      </c>
      <c r="P13" s="147">
        <f t="shared" si="8"/>
        <v>0.32580703654332965</v>
      </c>
      <c r="Q13" s="148">
        <f t="shared" si="4"/>
        <v>1</v>
      </c>
      <c r="R13" s="37">
        <f>IF(M13=Year_Open_to_Traffic?,Calculations!$J$5,Calculations!R12+(Calculations!R12*Calculations!O13*Q13))</f>
        <v>930743.27247605636</v>
      </c>
      <c r="S13" s="54">
        <f t="shared" si="0"/>
        <v>1</v>
      </c>
      <c r="T13" s="37">
        <f t="shared" si="5"/>
        <v>930.7432724760564</v>
      </c>
      <c r="U13" s="142">
        <f>T13/(1+Real_Discount_Rate)^(Calculations!M13-'Assumed Values'!$C$5)</f>
        <v>506.26267158291881</v>
      </c>
    </row>
    <row r="14" spans="1:21" ht="15.75" x14ac:dyDescent="0.25">
      <c r="A14" s="152" t="s">
        <v>148</v>
      </c>
      <c r="B14" s="156">
        <f>_2045_Peak_Period_Volume/_2045_Peak_Period_Capacity</f>
        <v>0.40740740740740738</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29821.589058291283</v>
      </c>
      <c r="O14" s="146">
        <f t="shared" si="7"/>
        <v>1.2494545571922533E-2</v>
      </c>
      <c r="P14" s="147">
        <f>P13*(1+IFERROR(_2025_2040_V_C_Growth,_2018_2045_V_C_Growth))</f>
        <v>0.32987784740907333</v>
      </c>
      <c r="Q14" s="148">
        <f t="shared" si="4"/>
        <v>1</v>
      </c>
      <c r="R14" s="37">
        <f>IF(M14=Year_Open_to_Traffic?,Calculations!$J$5,Calculations!R13+(Calculations!R13*Calculations!O14*Q14))</f>
        <v>942372.48670976877</v>
      </c>
      <c r="S14" s="54">
        <f t="shared" si="0"/>
        <v>1</v>
      </c>
      <c r="T14" s="37">
        <f t="shared" si="5"/>
        <v>942.37248670976874</v>
      </c>
      <c r="U14" s="142">
        <f>T14/(1+Real_Discount_Rate)^(Calculations!M14-'Assumed Values'!$C$5)</f>
        <v>479.05438654614471</v>
      </c>
    </row>
    <row r="15" spans="1:21" ht="15.75" x14ac:dyDescent="0.25">
      <c r="A15" s="152" t="s">
        <v>80</v>
      </c>
      <c r="B15" s="153">
        <f>(B13/B12)^(1/(2025-2018))-1</f>
        <v>3.276970045726646E-2</v>
      </c>
      <c r="L15" s="136"/>
      <c r="M15" s="144">
        <f>M14+1</f>
        <v>2029</v>
      </c>
      <c r="N15" s="145">
        <f t="shared" si="6"/>
        <v>30194.19626180725</v>
      </c>
      <c r="O15" s="146">
        <f t="shared" si="7"/>
        <v>1.2494545571922533E-2</v>
      </c>
      <c r="P15" s="147">
        <f>P14*(1+IFERROR(_2025_2040_V_C_Growth,_2018_2045_V_C_Growth))</f>
        <v>0.33399952120669368</v>
      </c>
      <c r="Q15" s="148">
        <f t="shared" si="4"/>
        <v>1</v>
      </c>
      <c r="R15" s="37">
        <f>IF(M15=Year_Open_to_Traffic?,Calculations!$J$5,Calculations!R14+(Calculations!R14*Calculations!O15*Q15))</f>
        <v>954147.00269068999</v>
      </c>
      <c r="S15" s="54">
        <f t="shared" si="0"/>
        <v>1</v>
      </c>
      <c r="T15" s="37">
        <f t="shared" si="5"/>
        <v>954.14700269068999</v>
      </c>
      <c r="U15" s="142">
        <f>T15/(1+Real_Discount_Rate)^(Calculations!M15-'Assumed Values'!$C$5)</f>
        <v>453.30836767315407</v>
      </c>
    </row>
    <row r="16" spans="1:21" ht="15.75" x14ac:dyDescent="0.25">
      <c r="A16" s="152" t="s">
        <v>108</v>
      </c>
      <c r="B16" s="153">
        <f>(B14/B13)^(1/(2045-2025))-1</f>
        <v>1.2494545571922533E-2</v>
      </c>
      <c r="D16" s="157" t="s">
        <v>136</v>
      </c>
      <c r="E16" s="151"/>
      <c r="L16" s="136"/>
      <c r="M16" s="137">
        <f t="shared" si="1"/>
        <v>2030</v>
      </c>
      <c r="N16" s="145">
        <f t="shared" si="6"/>
        <v>30571.459023007974</v>
      </c>
      <c r="O16" s="146">
        <f t="shared" si="7"/>
        <v>1.2494545571922533E-2</v>
      </c>
      <c r="P16" s="147">
        <f t="shared" si="8"/>
        <v>0.33817269344541101</v>
      </c>
      <c r="Q16" s="148">
        <f t="shared" si="4"/>
        <v>1</v>
      </c>
      <c r="R16" s="37">
        <f>IF(M16=Year_Open_to_Traffic?,Calculations!$J$5,Calculations!R15+(Calculations!R15*Calculations!O16*Q16))</f>
        <v>966068.6358981221</v>
      </c>
      <c r="S16" s="54">
        <f t="shared" si="0"/>
        <v>1</v>
      </c>
      <c r="T16" s="37">
        <f t="shared" si="5"/>
        <v>966.06863589812212</v>
      </c>
      <c r="U16" s="142">
        <f>T16/(1+Real_Discount_Rate)^(Calculations!M16-'Assumed Values'!$C$5)</f>
        <v>428.94602778614973</v>
      </c>
    </row>
    <row r="17" spans="1:21" ht="15.75" x14ac:dyDescent="0.25">
      <c r="A17" s="152" t="s">
        <v>109</v>
      </c>
      <c r="B17" s="153">
        <f>(B14/B12)^(1/(2045-2018))-1</f>
        <v>1.7712528301331076E-2</v>
      </c>
      <c r="D17" s="152" t="s">
        <v>89</v>
      </c>
      <c r="E17" s="158">
        <f>($E$6*Death_Rate)/100000000</f>
        <v>0.18582364187405831</v>
      </c>
      <c r="L17" s="136"/>
      <c r="M17" s="144">
        <f t="shared" si="1"/>
        <v>2031</v>
      </c>
      <c r="N17" s="145">
        <f t="shared" si="6"/>
        <v>30953.43551097111</v>
      </c>
      <c r="O17" s="146">
        <f t="shared" si="7"/>
        <v>1.2494545571922533E-2</v>
      </c>
      <c r="P17" s="147">
        <f t="shared" si="8"/>
        <v>0.34239800757484451</v>
      </c>
      <c r="Q17" s="148">
        <f t="shared" si="4"/>
        <v>1</v>
      </c>
      <c r="R17" s="37">
        <f>IF(M17=Year_Open_to_Traffic?,Calculations!$J$5,Calculations!R16+(Calculations!R16*Calculations!O17*Q17))</f>
        <v>978139.2244949562</v>
      </c>
      <c r="S17" s="54">
        <f t="shared" si="0"/>
        <v>1</v>
      </c>
      <c r="T17" s="37">
        <f t="shared" si="5"/>
        <v>978.13922449495624</v>
      </c>
      <c r="U17" s="142">
        <f>T17/(1+Real_Discount_Rate)^(Calculations!M17-'Assumed Values'!$C$5)</f>
        <v>405.89300325067188</v>
      </c>
    </row>
    <row r="18" spans="1:21" ht="15.75" x14ac:dyDescent="0.25">
      <c r="D18" s="152" t="s">
        <v>94</v>
      </c>
      <c r="E18" s="158">
        <f>($E$6*Incap_Injry_Rate)/100000000</f>
        <v>0.93930853811822401</v>
      </c>
      <c r="L18" s="136"/>
      <c r="M18" s="137">
        <f t="shared" si="1"/>
        <v>2032</v>
      </c>
      <c r="N18" s="145">
        <f t="shared" si="6"/>
        <v>31340.184621570505</v>
      </c>
      <c r="O18" s="146">
        <f t="shared" si="7"/>
        <v>1.2494545571922533E-2</v>
      </c>
      <c r="P18" s="147">
        <f t="shared" si="8"/>
        <v>0.34667611508422386</v>
      </c>
      <c r="Q18" s="148">
        <f t="shared" si="4"/>
        <v>1</v>
      </c>
      <c r="R18" s="37">
        <f>IF(M18=Year_Open_to_Traffic?,Calculations!$J$5,Calculations!R17+(Calculations!R17*Calculations!O18*Q18))</f>
        <v>990360.62961109343</v>
      </c>
      <c r="S18" s="54">
        <f t="shared" si="0"/>
        <v>1</v>
      </c>
      <c r="T18" s="37">
        <f t="shared" si="5"/>
        <v>990.36062961109349</v>
      </c>
      <c r="U18" s="142">
        <f>T18/(1+Real_Discount_Rate)^(Calculations!M18-'Assumed Values'!$C$5)</f>
        <v>384.07892698795507</v>
      </c>
    </row>
    <row r="19" spans="1:21" ht="15.75" x14ac:dyDescent="0.25">
      <c r="D19" s="152" t="s">
        <v>93</v>
      </c>
      <c r="E19" s="158">
        <f>($E$6*Nonincap_Injry_Rate)/100000000</f>
        <v>5.2995703800275793</v>
      </c>
      <c r="L19" s="136"/>
      <c r="M19" s="144">
        <f t="shared" si="1"/>
        <v>2033</v>
      </c>
      <c r="N19" s="145">
        <f t="shared" si="6"/>
        <v>31731.765986557184</v>
      </c>
      <c r="O19" s="146">
        <f t="shared" si="7"/>
        <v>1.2494545571922533E-2</v>
      </c>
      <c r="P19" s="147">
        <f t="shared" si="8"/>
        <v>0.35100767560284074</v>
      </c>
      <c r="Q19" s="148">
        <f t="shared" si="4"/>
        <v>1</v>
      </c>
      <c r="R19" s="37">
        <f>IF(M19=Year_Open_to_Traffic?,Calculations!$J$5,Calculations!R18+(Calculations!R18*Calculations!O19*Q19))</f>
        <v>1002734.7356304071</v>
      </c>
      <c r="S19" s="54">
        <f t="shared" si="0"/>
        <v>1</v>
      </c>
      <c r="T19" s="37">
        <f t="shared" si="5"/>
        <v>1002.7347356304072</v>
      </c>
      <c r="U19" s="142">
        <f>T19/(1+Real_Discount_Rate)^(Calculations!M19-'Assumed Values'!$C$5)</f>
        <v>363.43721368637489</v>
      </c>
    </row>
    <row r="20" spans="1:21" ht="15.75" x14ac:dyDescent="0.25">
      <c r="D20" s="152" t="s">
        <v>92</v>
      </c>
      <c r="E20" s="158">
        <f>($E$6*Poss_Injry_Rate/100000000)</f>
        <v>13.230043870330134</v>
      </c>
      <c r="L20" s="136"/>
      <c r="M20" s="137">
        <f t="shared" si="1"/>
        <v>2034</v>
      </c>
      <c r="N20" s="145">
        <f t="shared" si="6"/>
        <v>32128.239982753803</v>
      </c>
      <c r="O20" s="146">
        <f t="shared" si="7"/>
        <v>1.2494545571922533E-2</v>
      </c>
      <c r="P20" s="147">
        <f t="shared" si="8"/>
        <v>0.35539335700175506</v>
      </c>
      <c r="Q20" s="148">
        <f t="shared" si="4"/>
        <v>1</v>
      </c>
      <c r="R20" s="37">
        <f>IF(M20=Year_Open_to_Traffic?,Calculations!$J$5,Calculations!R19+(Calculations!R19*Calculations!O20*Q20))</f>
        <v>1015263.4504812909</v>
      </c>
      <c r="S20" s="54">
        <f t="shared" si="0"/>
        <v>1</v>
      </c>
      <c r="T20" s="37">
        <f t="shared" si="5"/>
        <v>1015.2634504812909</v>
      </c>
      <c r="U20" s="142">
        <f>T20/(1+Real_Discount_Rate)^(Calculations!M20-'Assumed Values'!$C$5)</f>
        <v>343.90485655636621</v>
      </c>
    </row>
    <row r="21" spans="1:21" ht="15.75" x14ac:dyDescent="0.25">
      <c r="D21" s="152" t="s">
        <v>91</v>
      </c>
      <c r="E21" s="158">
        <f>($E$6*Non_Injry_Rate)/100000000</f>
        <v>102.58544007433095</v>
      </c>
      <c r="L21" s="136"/>
      <c r="M21" s="144">
        <f>M20+1</f>
        <v>2035</v>
      </c>
      <c r="N21" s="145">
        <f t="shared" si="6"/>
        <v>32529.667741363985</v>
      </c>
      <c r="O21" s="146">
        <f t="shared" si="7"/>
        <v>1.2494545571922533E-2</v>
      </c>
      <c r="P21" s="147">
        <f>P20*(1+IFERROR(_2025_2040_V_C_Growth,_2018_2045_V_C_Growth))</f>
        <v>0.359833835496772</v>
      </c>
      <c r="Q21" s="148">
        <f t="shared" si="4"/>
        <v>1</v>
      </c>
      <c r="R21" s="37">
        <f>IF(M21=Year_Open_to_Traffic?,Calculations!$J$5,Calculations!R20+(Calculations!R20*Calculations!O21*Q21))</f>
        <v>1027948.7059308367</v>
      </c>
      <c r="S21" s="54">
        <f t="shared" si="0"/>
        <v>1</v>
      </c>
      <c r="T21" s="37">
        <f t="shared" si="5"/>
        <v>1027.9487059308367</v>
      </c>
      <c r="U21" s="142">
        <f>T21/(1+Real_Discount_Rate)^(Calculations!M21-'Assumed Values'!$C$5)</f>
        <v>325.42223500842545</v>
      </c>
    </row>
    <row r="22" spans="1:21" ht="15.75" x14ac:dyDescent="0.25">
      <c r="D22" s="152" t="s">
        <v>90</v>
      </c>
      <c r="E22" s="158">
        <f>($E$6*Unkn_Injry_Rate)/100000000</f>
        <v>8.9015518768702133</v>
      </c>
      <c r="L22" s="136"/>
      <c r="M22" s="137">
        <f>M21+1</f>
        <v>2036</v>
      </c>
      <c r="N22" s="145">
        <f t="shared" si="6"/>
        <v>32936.111157397958</v>
      </c>
      <c r="O22" s="146">
        <f t="shared" si="7"/>
        <v>1.2494545571922533E-2</v>
      </c>
      <c r="P22" s="147">
        <f t="shared" si="8"/>
        <v>0.36432979575270608</v>
      </c>
      <c r="Q22" s="148">
        <f t="shared" si="4"/>
        <v>1</v>
      </c>
      <c r="R22" s="37">
        <f>IF(M22=Year_Open_to_Traffic?,Calculations!$J$5,Calculations!R21+(Calculations!R21*Calculations!O22*Q22))</f>
        <v>1040792.4578826884</v>
      </c>
      <c r="S22" s="54">
        <f t="shared" si="0"/>
        <v>1</v>
      </c>
      <c r="T22" s="37">
        <f t="shared" si="5"/>
        <v>1040.7924578826883</v>
      </c>
      <c r="U22" s="142">
        <f>T22/(1+Real_Discount_Rate)^(Calculations!M22-'Assumed Values'!$C$5)</f>
        <v>307.93293266715426</v>
      </c>
    </row>
    <row r="23" spans="1:21" ht="15.75" x14ac:dyDescent="0.25">
      <c r="L23" s="136"/>
      <c r="M23" s="144">
        <f t="shared" si="1"/>
        <v>2037</v>
      </c>
      <c r="N23" s="145">
        <f t="shared" si="6"/>
        <v>33347.632899215976</v>
      </c>
      <c r="O23" s="146">
        <f t="shared" si="7"/>
        <v>1.2494545571922533E-2</v>
      </c>
      <c r="P23" s="147">
        <f t="shared" si="8"/>
        <v>0.3688819309889475</v>
      </c>
      <c r="Q23" s="148">
        <f t="shared" si="4"/>
        <v>1</v>
      </c>
      <c r="R23" s="37">
        <f>IF(M23=Year_Open_to_Traffic?,Calculations!$J$5,Calculations!R22+(Calculations!R22*Calculations!O23*Q23))</f>
        <v>1053796.6866786168</v>
      </c>
      <c r="S23" s="54">
        <f t="shared" si="0"/>
        <v>1</v>
      </c>
      <c r="T23" s="37">
        <f t="shared" si="5"/>
        <v>1053.7966866786169</v>
      </c>
      <c r="U23" s="142">
        <f>T23/(1+Real_Discount_Rate)^(Calculations!M23-'Assumed Values'!$C$5)</f>
        <v>291.38356516585026</v>
      </c>
    </row>
    <row r="24" spans="1:21" ht="15.75" x14ac:dyDescent="0.25">
      <c r="L24" s="136"/>
      <c r="M24" s="137">
        <f t="shared" si="1"/>
        <v>2038</v>
      </c>
      <c r="N24" s="145">
        <f t="shared" si="6"/>
        <v>33764.29641819097</v>
      </c>
      <c r="O24" s="146">
        <f t="shared" si="7"/>
        <v>1.2494545571922533E-2</v>
      </c>
      <c r="P24" s="147">
        <f t="shared" si="8"/>
        <v>0.37349094308634767</v>
      </c>
      <c r="Q24" s="148">
        <f t="shared" si="4"/>
        <v>1</v>
      </c>
      <c r="R24" s="37">
        <f>IF(M24=Year_Open_to_Traffic?,Calculations!$J$5,Calculations!R23+(Calculations!R23*Calculations!O24*Q24))</f>
        <v>1066963.3974038637</v>
      </c>
      <c r="S24" s="54">
        <f t="shared" si="0"/>
        <v>1</v>
      </c>
      <c r="T24" s="37">
        <f t="shared" si="5"/>
        <v>1066.9633974038638</v>
      </c>
      <c r="U24" s="142">
        <f>T24/(1+Real_Discount_Rate)^(Calculations!M24-'Assumed Values'!$C$5)</f>
        <v>275.723617196004</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34186.165958491954</v>
      </c>
      <c r="O25" s="146">
        <f t="shared" si="7"/>
        <v>1.2494545571922533E-2</v>
      </c>
      <c r="P25" s="147">
        <f t="shared" si="8"/>
        <v>0.37815754269544039</v>
      </c>
      <c r="Q25" s="148">
        <f t="shared" si="4"/>
        <v>1</v>
      </c>
      <c r="R25" s="37">
        <f>IF(M25=Year_Open_to_Traffic?,Calculations!$J$5,Calculations!R24+(Calculations!R24*Calculations!O25*Q25))</f>
        <v>1080294.6201962996</v>
      </c>
      <c r="S25" s="54">
        <f t="shared" si="0"/>
        <v>1</v>
      </c>
      <c r="T25" s="37">
        <f t="shared" si="5"/>
        <v>1080.2946201962995</v>
      </c>
      <c r="U25" s="142">
        <f>T25/(1+Real_Discount_Rate)^(Calculations!M25-'Assumed Values'!$C$5)</f>
        <v>260.90528831431283</v>
      </c>
    </row>
    <row r="26" spans="1:21" ht="15.75" x14ac:dyDescent="0.25">
      <c r="A26" s="181"/>
      <c r="B26" s="181"/>
      <c r="D26" s="160">
        <f>Calculations!E17</f>
        <v>0.18582364187405831</v>
      </c>
      <c r="E26" s="160">
        <f>Calculations!E18</f>
        <v>0.93930853811822401</v>
      </c>
      <c r="F26" s="160">
        <f>Calculations!E19</f>
        <v>5.2995703800275793</v>
      </c>
      <c r="G26" s="160">
        <f>Calculations!E20</f>
        <v>13.230043870330134</v>
      </c>
      <c r="H26" s="160">
        <f>Calculations!E21</f>
        <v>102.58544007433095</v>
      </c>
      <c r="I26" s="160">
        <f>Calculations!E22</f>
        <v>8.9015518768702133</v>
      </c>
      <c r="J26" s="182"/>
      <c r="L26" s="136"/>
      <c r="M26" s="137">
        <f t="shared" si="1"/>
        <v>2040</v>
      </c>
      <c r="N26" s="145">
        <f t="shared" si="6"/>
        <v>34613.306566989639</v>
      </c>
      <c r="O26" s="146">
        <f t="shared" si="7"/>
        <v>1.2494545571922533E-2</v>
      </c>
      <c r="P26" s="147">
        <f t="shared" si="8"/>
        <v>0.38288244934601479</v>
      </c>
      <c r="Q26" s="148">
        <f t="shared" si="4"/>
        <v>1</v>
      </c>
      <c r="R26" s="37">
        <f>IF(M26=Year_Open_to_Traffic?,Calculations!$J$5,Calculations!R25+(Calculations!R25*Calculations!O26*Q26))</f>
        <v>1093792.4105594452</v>
      </c>
      <c r="S26" s="54">
        <f t="shared" si="0"/>
        <v>1</v>
      </c>
      <c r="T26" s="37">
        <f t="shared" si="5"/>
        <v>1093.7924105594452</v>
      </c>
      <c r="U26" s="142">
        <f>T26/(1+Real_Discount_Rate)^(Calculations!M26-'Assumed Values'!$C$5)</f>
        <v>246.88334703655298</v>
      </c>
    </row>
    <row r="27" spans="1:21" ht="15.75" x14ac:dyDescent="0.25">
      <c r="A27" s="161" t="s">
        <v>95</v>
      </c>
      <c r="B27" s="162" t="s">
        <v>96</v>
      </c>
      <c r="D27" s="163">
        <f>D$26*'Value of Statistical Life'!D17*Appropriate_Crash_Reduction_Factor</f>
        <v>0</v>
      </c>
      <c r="E27" s="163">
        <f>E$26*'Value of Statistical Life'!E17*Appropriate_Crash_Reduction_Factor</f>
        <v>4.842605168268504E-3</v>
      </c>
      <c r="F27" s="163">
        <f>F$26*'Value of Statistical Life'!F17*Appropriate_Crash_Reduction_Factor</f>
        <v>6.6353270943135312E-2</v>
      </c>
      <c r="G27" s="163">
        <f>G$26*'Value of Statistical Life'!G17*Appropriate_Crash_Reduction_Factor</f>
        <v>0.46510880728339099</v>
      </c>
      <c r="H27" s="163">
        <f>H$26*'Value of Statistical Life'!H17*Appropriate_Crash_Reduction_Factor</f>
        <v>14.238961667757211</v>
      </c>
      <c r="I27" s="163">
        <f>I$26*'Value of Statistical Life'!I17*Appropriate_Crash_Reduction_Factor</f>
        <v>0.58317626966127512</v>
      </c>
      <c r="J27" s="163">
        <f t="shared" ref="J27:J33" si="9">SUM(D27:I27)</f>
        <v>15.35844262081328</v>
      </c>
      <c r="K27" s="164"/>
      <c r="L27" s="136"/>
      <c r="M27" s="144">
        <f t="shared" si="1"/>
        <v>2041</v>
      </c>
      <c r="N27" s="145">
        <f t="shared" si="6"/>
        <v>35045.78410328582</v>
      </c>
      <c r="O27" s="146">
        <f t="shared" si="7"/>
        <v>1.2494545571922533E-2</v>
      </c>
      <c r="P27" s="147">
        <f t="shared" si="8"/>
        <v>0.38766639155805788</v>
      </c>
      <c r="Q27" s="148">
        <f t="shared" si="4"/>
        <v>1</v>
      </c>
      <c r="R27" s="37">
        <f>IF(M27=Year_Open_to_Traffic?,Calculations!$J$5,Calculations!R26+(Calculations!R26*Calculations!O27*Q27))</f>
        <v>1107458.8496794032</v>
      </c>
      <c r="S27" s="54">
        <f t="shared" si="0"/>
        <v>1</v>
      </c>
      <c r="T27" s="37">
        <f t="shared" si="5"/>
        <v>1107.4588496794033</v>
      </c>
      <c r="U27" s="142">
        <f>T27/(1+Real_Discount_Rate)^(Calculations!M27-'Assumed Values'!$C$5)</f>
        <v>233.61499277294388</v>
      </c>
    </row>
    <row r="28" spans="1:21" ht="15.75" x14ac:dyDescent="0.25">
      <c r="A28" s="161" t="s">
        <v>61</v>
      </c>
      <c r="B28" s="165" t="s">
        <v>62</v>
      </c>
      <c r="D28" s="163">
        <f>D$26*'Value of Statistical Life'!D18*Appropriate_Crash_Reduction_Factor</f>
        <v>0</v>
      </c>
      <c r="E28" s="163">
        <f>E$26*'Value of Statistical Life'!E18*Appropriate_Crash_Reduction_Factor</f>
        <v>7.8125578695176112E-2</v>
      </c>
      <c r="F28" s="163">
        <f>F$26*'Value of Statistical Life'!F18*Appropriate_Crash_Reduction_Factor</f>
        <v>0.61085233006868889</v>
      </c>
      <c r="G28" s="163">
        <f>G$26*'Value of Statistical Life'!G18*Appropriate_Crash_Reduction_Factor</f>
        <v>1.3682379070256718</v>
      </c>
      <c r="H28" s="163">
        <f>H$26*'Value of Statistical Life'!H18*Appropriate_Crash_Reduction_Factor</f>
        <v>1.1166938079291293</v>
      </c>
      <c r="I28" s="163">
        <f>I$26*'Value of Statistical Life'!I18*Appropriate_Crash_Reduction_Factor</f>
        <v>0.55731281068302874</v>
      </c>
      <c r="J28" s="163">
        <f t="shared" si="9"/>
        <v>3.7312224344016949</v>
      </c>
      <c r="K28" s="164"/>
      <c r="L28" s="136"/>
      <c r="M28" s="137">
        <f t="shared" si="1"/>
        <v>2042</v>
      </c>
      <c r="N28" s="145">
        <f t="shared" si="6"/>
        <v>35483.665249868085</v>
      </c>
      <c r="O28" s="146">
        <f t="shared" si="7"/>
        <v>1.2494545571922533E-2</v>
      </c>
      <c r="P28" s="147">
        <f t="shared" si="8"/>
        <v>0.39251010695408278</v>
      </c>
      <c r="Q28" s="148">
        <f t="shared" si="4"/>
        <v>1</v>
      </c>
      <c r="R28" s="37">
        <f>IF(M28=Year_Open_to_Traffic?,Calculations!$J$5,Calculations!R27+(Calculations!R27*Calculations!O28*Q28))</f>
        <v>1121296.0447457514</v>
      </c>
      <c r="S28" s="54">
        <f t="shared" si="0"/>
        <v>1</v>
      </c>
      <c r="T28" s="37">
        <f t="shared" si="5"/>
        <v>1121.2960447457515</v>
      </c>
      <c r="U28" s="142">
        <f>T28/(1+Real_Discount_Rate)^(Calculations!M28-'Assumed Values'!$C$5)</f>
        <v>221.05972518357922</v>
      </c>
    </row>
    <row r="29" spans="1:21" ht="15.75" x14ac:dyDescent="0.25">
      <c r="A29" s="161" t="s">
        <v>63</v>
      </c>
      <c r="B29" s="165" t="s">
        <v>64</v>
      </c>
      <c r="D29" s="163">
        <f>D$26*'Value of Statistical Life'!D19*Appropriate_Crash_Reduction_Factor</f>
        <v>0</v>
      </c>
      <c r="E29" s="163">
        <f>E$26*'Value of Statistical Life'!E19*Appropriate_Crash_Reduction_Factor</f>
        <v>2.9458594372463738E-2</v>
      </c>
      <c r="F29" s="163">
        <f>F$26*'Value of Statistical Life'!F19*Appropriate_Crash_Reduction_Factor</f>
        <v>8.663207700231082E-2</v>
      </c>
      <c r="G29" s="163">
        <f>G$26*'Value of Statistical Life'!G19*Appropriate_Crash_Reduction_Factor</f>
        <v>0.12682981556291981</v>
      </c>
      <c r="H29" s="163">
        <f>H$26*'Value of Statistical Life'!H19*Appropriate_Crash_Reduction_Factor</f>
        <v>3.0467875702076291E-2</v>
      </c>
      <c r="I29" s="163">
        <f>I$26*'Value of Statistical Life'!I19*Appropriate_Crash_Reduction_Factor</f>
        <v>0.11846185237738878</v>
      </c>
      <c r="J29" s="163">
        <f t="shared" si="9"/>
        <v>0.39185021501715939</v>
      </c>
      <c r="K29" s="164"/>
      <c r="L29" s="136"/>
      <c r="M29" s="144">
        <f t="shared" si="1"/>
        <v>2043</v>
      </c>
      <c r="N29" s="145">
        <f t="shared" si="6"/>
        <v>35927.017522391405</v>
      </c>
      <c r="O29" s="146">
        <f t="shared" si="7"/>
        <v>1.2494545571922533E-2</v>
      </c>
      <c r="P29" s="147">
        <f t="shared" si="8"/>
        <v>0.39741434237286077</v>
      </c>
      <c r="Q29" s="148">
        <f t="shared" si="4"/>
        <v>1</v>
      </c>
      <c r="R29" s="37">
        <f>IF(M29=Year_Open_to_Traffic?,Calculations!$J$5,Calculations!R28+(Calculations!R28*Calculations!O29*Q29))</f>
        <v>1135306.1292764437</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2.0341196047219196E-2</v>
      </c>
      <c r="F30" s="163">
        <f>F$26*'Value of Statistical Life'!F20*Appropriate_Crash_Reduction_Factor</f>
        <v>2.5366393624002007E-2</v>
      </c>
      <c r="G30" s="163">
        <f>G$26*'Value of Statistical Life'!G20*Appropriate_Crash_Reduction_Factor</f>
        <v>2.1254065477685363E-2</v>
      </c>
      <c r="H30" s="163">
        <f>H$26*'Value of Statistical Life'!H20*Appropriate_Crash_Reduction_Factor</f>
        <v>1.2310252808919713E-3</v>
      </c>
      <c r="I30" s="163">
        <f>I$26*'Value of Statistical Life'!I20*Appropriate_Crash_Reduction_Factor</f>
        <v>6.4318163086325722E-2</v>
      </c>
      <c r="J30" s="163">
        <f t="shared" si="9"/>
        <v>0.13251084351612424</v>
      </c>
      <c r="K30" s="164"/>
      <c r="L30" s="136"/>
      <c r="M30" s="144">
        <f t="shared" si="1"/>
        <v>2044</v>
      </c>
      <c r="N30" s="145">
        <f t="shared" si="6"/>
        <v>36375.909280088184</v>
      </c>
      <c r="O30" s="146">
        <f t="shared" si="7"/>
        <v>1.2494545571922533E-2</v>
      </c>
      <c r="P30" s="147">
        <f t="shared" si="8"/>
        <v>0.4023798539845741</v>
      </c>
      <c r="Q30" s="148">
        <f t="shared" si="4"/>
        <v>1</v>
      </c>
      <c r="R30" s="37">
        <f>IF(M30=Year_Open_to_Traffic?,Calculations!$J$5,Calculations!R29+(Calculations!R29*Calculations!O30*Q30))</f>
        <v>1149491.2634467713</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5.6161257494088609E-3</v>
      </c>
      <c r="F31" s="163">
        <f>F$26*'Value of Statistical Life'!F21*Appropriate_Crash_Reduction_Factor</f>
        <v>4.9286004534256486E-3</v>
      </c>
      <c r="G31" s="163">
        <f>G$26*'Value of Statistical Life'!G21*Appropriate_Crash_Reduction_Factor</f>
        <v>2.8179993443803184E-3</v>
      </c>
      <c r="H31" s="163">
        <f>H$26*'Value of Statistical Life'!H21*Appropriate_Crash_Reduction_Factor</f>
        <v>0</v>
      </c>
      <c r="I31" s="163">
        <f>I$26*'Value of Statistical Life'!I21*Appropriate_Crash_Reduction_Factor</f>
        <v>8.2383862620433821E-3</v>
      </c>
      <c r="J31" s="163">
        <f t="shared" si="9"/>
        <v>2.1601111809258208E-2</v>
      </c>
      <c r="K31" s="164"/>
      <c r="L31" s="136"/>
      <c r="M31" s="144">
        <f t="shared" si="1"/>
        <v>2045</v>
      </c>
      <c r="N31" s="145">
        <f t="shared" si="6"/>
        <v>36830.409736308364</v>
      </c>
      <c r="O31" s="146">
        <f t="shared" si="7"/>
        <v>1.2494545571922533E-2</v>
      </c>
      <c r="P31" s="147">
        <f t="shared" si="8"/>
        <v>0.40740740740740788</v>
      </c>
      <c r="Q31" s="148">
        <f t="shared" si="4"/>
        <v>1</v>
      </c>
      <c r="R31" s="37">
        <f>IF(M31=Year_Open_to_Traffic?,Calculations!$J$5,Calculations!R30+(Calculations!R30*Calculations!O31*Q31))</f>
        <v>1163853.6344224338</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2.5121806851971899E-3</v>
      </c>
      <c r="F32" s="163">
        <f>F$26*'Value of Statistical Life'!F22*Appropriate_Crash_Reduction_Factor</f>
        <v>8.0288491257417835E-4</v>
      </c>
      <c r="G32" s="163">
        <f>G$26*'Value of Statistical Life'!G22*Appropriate_Crash_Reduction_Factor</f>
        <v>2.5798585547143758E-4</v>
      </c>
      <c r="H32" s="163">
        <f>H$26*'Value of Statistical Life'!H22*Appropriate_Crash_Reduction_Factor</f>
        <v>4.6163448033448924E-4</v>
      </c>
      <c r="I32" s="163">
        <f>I$26*'Value of Statistical Life'!I22*Appropriate_Crash_Reduction_Factor</f>
        <v>3.7252994604701837E-3</v>
      </c>
      <c r="J32" s="163">
        <f t="shared" si="9"/>
        <v>7.7599853940474792E-3</v>
      </c>
      <c r="K32" s="164"/>
      <c r="L32" s="136"/>
      <c r="M32" s="144">
        <f t="shared" si="1"/>
        <v>2046</v>
      </c>
      <c r="N32" s="145">
        <f t="shared" si="6"/>
        <v>37290.588969191245</v>
      </c>
      <c r="O32" s="146">
        <f t="shared" si="7"/>
        <v>1.2494545571922533E-2</v>
      </c>
      <c r="P32" s="147">
        <f t="shared" si="8"/>
        <v>0.41249777782559854</v>
      </c>
      <c r="Q32" s="148">
        <f t="shared" si="4"/>
        <v>1</v>
      </c>
      <c r="R32" s="37">
        <f>IF(M32=Year_Open_to_Traffic?,Calculations!$J$5,Calculations!R31+(Calculations!R31*Calculations!O32*Q32))</f>
        <v>1178395.4566967725</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2.7873546281108746E-2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2.7873546281108746E-2</v>
      </c>
      <c r="K33" s="164"/>
      <c r="L33" s="136"/>
      <c r="M33" s="144">
        <f t="shared" si="1"/>
        <v>2047</v>
      </c>
      <c r="N33" s="145">
        <f t="shared" si="6"/>
        <v>37756.517932470641</v>
      </c>
      <c r="O33" s="146">
        <f t="shared" si="7"/>
        <v>1.2494545571922533E-2</v>
      </c>
      <c r="P33" s="147">
        <f t="shared" si="8"/>
        <v>0.41765175010895728</v>
      </c>
      <c r="Q33" s="148">
        <f t="shared" si="4"/>
        <v>1</v>
      </c>
      <c r="R33" s="37">
        <f>IF(M33=Year_Open_to_Traffic?,Calculations!$J$5,Calculations!R32+(Calculations!R32*Calculations!O33*Q33))</f>
        <v>1193118.9724322169</v>
      </c>
      <c r="S33" s="54">
        <f t="shared" si="0"/>
        <v>0</v>
      </c>
      <c r="T33" s="37">
        <f t="shared" si="5"/>
        <v>0</v>
      </c>
      <c r="U33" s="142">
        <f>T33/(1+Real_Discount_Rate)^(Calculations!M33-'Assumed Values'!$C$5)</f>
        <v>0</v>
      </c>
    </row>
    <row r="34" spans="1:21" ht="15.75" x14ac:dyDescent="0.25">
      <c r="J34" s="166"/>
      <c r="L34" s="136"/>
      <c r="M34" s="144">
        <f t="shared" si="1"/>
        <v>2048</v>
      </c>
      <c r="N34" s="145">
        <f t="shared" si="6"/>
        <v>38228.268466415007</v>
      </c>
      <c r="O34" s="146">
        <f t="shared" si="7"/>
        <v>1.2494545571922533E-2</v>
      </c>
      <c r="P34" s="147">
        <f t="shared" si="8"/>
        <v>0.42287011893388682</v>
      </c>
      <c r="Q34" s="148">
        <f t="shared" si="4"/>
        <v>1</v>
      </c>
      <c r="R34" s="37">
        <f>IF(M34=Year_Open_to_Traffic?,Calculations!$J$5,Calculations!R33+(Calculations!R33*Calculations!O34*Q34))</f>
        <v>1208026.4518059965</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38705.913308904317</v>
      </c>
      <c r="O35" s="146">
        <f t="shared" si="7"/>
        <v>1.2494545571922533E-2</v>
      </c>
      <c r="P35" s="147">
        <f t="shared" si="8"/>
        <v>0.42815368890591055</v>
      </c>
      <c r="Q35" s="148">
        <f t="shared" si="4"/>
        <v>1</v>
      </c>
      <c r="R35" s="37">
        <f>IF(M35=Year_Open_to_Traffic?,Calculations!$J$5,Calculations!R34+(Calculations!R34*Calculations!O35*Q35))</f>
        <v>1223120.1933601743</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39189.526106645302</v>
      </c>
      <c r="O36" s="146">
        <f t="shared" si="7"/>
        <v>1.2494545571922533E-2</v>
      </c>
      <c r="P36" s="147">
        <f t="shared" si="8"/>
        <v>0.43350327468373218</v>
      </c>
      <c r="Q36" s="148">
        <f t="shared" si="4"/>
        <v>1</v>
      </c>
      <c r="R36" s="37">
        <f>IF(M36=Year_Open_to_Traffic?,Calculations!$J$5,Calculations!R35+(Calculations!R35*Calculations!O36*Q36))</f>
        <v>1238402.5243560518</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7820.9176755420276</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A3" workbookViewId="0">
      <selection activeCell="C27" sqref="C27"/>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2018-08-02T18:58:13Z</cp:lastPrinted>
  <dcterms:created xsi:type="dcterms:W3CDTF">2012-07-25T15:48:32Z</dcterms:created>
  <dcterms:modified xsi:type="dcterms:W3CDTF">2018-10-24T21:24:52Z</dcterms:modified>
</cp:coreProperties>
</file>