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Emancipation\"/>
    </mc:Choice>
  </mc:AlternateContent>
  <xr:revisionPtr revIDLastSave="0" documentId="13_ncr:1_{BD78330D-1195-44A9-AF3B-7606483F8BAA}" xr6:coauthVersionLast="37" xr6:coauthVersionMax="37" xr10:uidLastSave="{00000000-0000-0000-0000-000000000000}"/>
  <bookViews>
    <workbookView xWindow="423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9" i="12" l="1"/>
  <c r="J33" i="12"/>
  <c r="J32" i="12"/>
  <c r="J31" i="12"/>
  <c r="J27" i="12"/>
  <c r="J5" i="12" s="1"/>
  <c r="R8" i="12" s="1"/>
  <c r="J30" i="12"/>
  <c r="J28" i="12"/>
  <c r="R9" i="12" l="1"/>
  <c r="T8" i="12"/>
  <c r="U8" i="12" s="1"/>
  <c r="T9" i="12" l="1"/>
  <c r="U9" i="12" s="1"/>
  <c r="R10" i="12"/>
  <c r="R11" i="12" l="1"/>
  <c r="T10" i="12"/>
  <c r="U10" i="12" s="1"/>
  <c r="R12" i="12" l="1"/>
  <c r="T11" i="12"/>
  <c r="U11" i="12" s="1"/>
  <c r="T12" i="12" l="1"/>
  <c r="U12" i="12" s="1"/>
  <c r="R13" i="12"/>
  <c r="T13" i="12" l="1"/>
  <c r="U13" i="12" s="1"/>
  <c r="R14" i="12"/>
  <c r="T14" i="12" l="1"/>
  <c r="U14" i="12" s="1"/>
  <c r="R15" i="12"/>
  <c r="T15" i="12" l="1"/>
  <c r="U15" i="12" s="1"/>
  <c r="R16" i="12"/>
  <c r="R17" i="12" l="1"/>
  <c r="T16" i="12"/>
  <c r="U16" i="12" s="1"/>
  <c r="T17" i="12" l="1"/>
  <c r="U17" i="12" s="1"/>
  <c r="R18" i="12"/>
  <c r="T18" i="12" l="1"/>
  <c r="U18" i="12" s="1"/>
  <c r="R19" i="12"/>
  <c r="T19" i="12" l="1"/>
  <c r="U19" i="12" s="1"/>
  <c r="R20" i="12"/>
  <c r="T20" i="12" l="1"/>
  <c r="U20" i="12" s="1"/>
  <c r="R21" i="12"/>
  <c r="R22" i="12" l="1"/>
  <c r="T21" i="12"/>
  <c r="U21" i="12" s="1"/>
  <c r="R23" i="12" l="1"/>
  <c r="T22" i="12"/>
  <c r="U22" i="12" s="1"/>
  <c r="T23" i="12" l="1"/>
  <c r="U23" i="12" s="1"/>
  <c r="R24" i="12"/>
  <c r="R25" i="12" l="1"/>
  <c r="T24" i="12"/>
  <c r="U24" i="12" s="1"/>
  <c r="T25" i="12" l="1"/>
  <c r="U25" i="12" s="1"/>
  <c r="R26" i="12"/>
  <c r="T26" i="12" l="1"/>
  <c r="U26" i="12" s="1"/>
  <c r="R27" i="12"/>
  <c r="R28" i="12" l="1"/>
  <c r="T27" i="12"/>
  <c r="U27" i="12" s="1"/>
  <c r="R29" i="12" l="1"/>
  <c r="T28" i="12"/>
  <c r="U28" i="12" s="1"/>
  <c r="T29" i="12" l="1"/>
  <c r="U29" i="12" s="1"/>
  <c r="R30" i="12"/>
  <c r="R31" i="12" l="1"/>
  <c r="T30" i="12"/>
  <c r="U30" i="12" s="1"/>
  <c r="T31" i="12" l="1"/>
  <c r="U31" i="12" s="1"/>
  <c r="R32" i="12"/>
  <c r="T32" i="12" l="1"/>
  <c r="U32" i="12" s="1"/>
  <c r="R33" i="12"/>
  <c r="R34" i="12" l="1"/>
  <c r="T33" i="12"/>
  <c r="U33" i="12" s="1"/>
  <c r="T34" i="12" l="1"/>
  <c r="U34" i="12" s="1"/>
  <c r="R35" i="12"/>
  <c r="R36" i="12" l="1"/>
  <c r="T36" i="12" s="1"/>
  <c r="U36" i="12" s="1"/>
  <c r="U37" i="12" s="1"/>
  <c r="C37" i="11" s="1"/>
  <c r="T35" i="12"/>
  <c r="U35" i="12" s="1"/>
</calcChain>
</file>

<file path=xl/sharedStrings.xml><?xml version="1.0" encoding="utf-8"?>
<sst xmlns="http://schemas.openxmlformats.org/spreadsheetml/2006/main" count="440" uniqueCount="286">
  <si>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</si>
  <si>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</si>
  <si>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</si>
  <si>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</si>
  <si>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</si>
  <si>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</si>
  <si>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</si>
  <si>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</si>
  <si>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</si>
  <si>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</si>
  <si>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</si>
  <si>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</si>
  <si>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</si>
  <si>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</si>
  <si>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</si>
  <si>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</si>
  <si>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</si>
  <si>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</si>
  <si>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</si>
  <si>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</si>
  <si>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</si>
  <si>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</si>
  <si>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</si>
  <si>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</si>
  <si>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</si>
  <si>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</si>
  <si>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</si>
  <si>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</si>
  <si>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</si>
  <si>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</si>
  <si>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</si>
  <si>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</si>
  <si>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</si>
  <si>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</si>
  <si>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</si>
  <si>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</si>
  <si>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</si>
  <si>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</si>
  <si>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</si>
  <si>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</si>
  <si>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</si>
  <si>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</si>
  <si>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</si>
  <si>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</si>
  <si>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</si>
  <si>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</si>
  <si>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</si>
  <si>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</si>
  <si>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</si>
  <si>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</si>
  <si>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</si>
  <si>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</si>
  <si>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</si>
  <si>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</si>
  <si>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</si>
  <si>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</si>
  <si>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</si>
  <si>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</si>
  <si>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</si>
  <si>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</si>
  <si>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</si>
  <si>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</si>
  <si>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</si>
  <si>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</si>
  <si>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</si>
  <si>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</si>
  <si>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</si>
  <si>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</si>
  <si>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</si>
  <si>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</si>
  <si>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</si>
  <si>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</si>
  <si>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</si>
  <si>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</si>
  <si>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</si>
  <si>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</si>
  <si>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</si>
  <si>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</si>
  <si>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</si>
  <si>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</si>
  <si>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</si>
  <si>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</si>
  <si>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</si>
  <si>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</si>
  <si>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</si>
  <si>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</si>
  <si>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</si>
  <si>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</si>
  <si>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</si>
  <si>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</si>
  <si>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</si>
  <si>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</si>
  <si>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</si>
  <si>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</si>
  <si>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</si>
  <si>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</si>
  <si>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</si>
  <si>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</si>
  <si>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</si>
  <si>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</si>
  <si>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</si>
  <si>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</si>
  <si>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</si>
  <si>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</si>
  <si>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</si>
  <si>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</si>
  <si>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</si>
  <si>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</si>
  <si>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</si>
  <si>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</si>
  <si>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</si>
  <si>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</si>
  <si>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</si>
  <si>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</si>
  <si>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</si>
  <si>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</si>
  <si>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</si>
  <si>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</si>
  <si>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</si>
  <si>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</si>
  <si>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</si>
  <si>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</si>
  <si>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</si>
  <si>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</si>
  <si>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</si>
  <si>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</si>
  <si>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</si>
  <si>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</si>
  <si>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</si>
  <si>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</si>
  <si>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</si>
  <si>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</si>
  <si>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</si>
  <si>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</si>
  <si>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</si>
  <si>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</si>
  <si>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</si>
  <si>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</si>
  <si>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</si>
  <si>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</si>
  <si>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</si>
  <si>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</si>
  <si>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</si>
  <si>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</si>
  <si>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</si>
  <si>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</si>
  <si>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</si>
  <si>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</si>
  <si>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</si>
  <si>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</si>
  <si>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</si>
  <si>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</si>
  <si>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</si>
  <si>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</si>
  <si>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</si>
  <si>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</si>
  <si>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</si>
  <si>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</si>
  <si>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</si>
  <si>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</si>
  <si>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</si>
  <si>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</si>
  <si>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</si>
  <si>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</si>
  <si>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</si>
  <si>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</si>
  <si>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</si>
  <si>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</si>
  <si>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</si>
  <si>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</si>
  <si>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</si>
  <si>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</si>
  <si>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</si>
  <si>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</si>
  <si>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</si>
  <si>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</si>
  <si>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</si>
  <si>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</si>
  <si>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</si>
  <si>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</si>
  <si>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</si>
  <si>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</si>
  <si>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</si>
  <si>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</si>
  <si>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</si>
  <si>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</si>
  <si>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</si>
  <si>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</si>
  <si>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</si>
  <si>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</si>
  <si>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</si>
  <si>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</si>
  <si>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</si>
  <si>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</si>
  <si>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</si>
  <si>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</si>
  <si>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</si>
  <si>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</si>
  <si>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</si>
  <si>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</si>
  <si>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</si>
  <si>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</si>
  <si>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</si>
  <si>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</si>
  <si>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</si>
  <si>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</si>
  <si>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</si>
  <si>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</si>
  <si>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</si>
  <si>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</si>
  <si>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</si>
  <si>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</si>
  <si>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</si>
  <si>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</si>
  <si>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</si>
  <si>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</si>
  <si>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</si>
  <si>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</si>
  <si>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</si>
  <si>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</si>
  <si>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</si>
  <si>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</si>
  <si>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</si>
  <si>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</si>
  <si>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</si>
  <si>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</si>
  <si>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</si>
  <si>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</si>
  <si>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</si>
  <si>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</si>
  <si>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</si>
  <si>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</si>
  <si>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</si>
  <si>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</si>
  <si>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</si>
  <si>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</si>
  <si>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</si>
  <si>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</si>
  <si>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</si>
  <si>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</si>
  <si>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</si>
  <si>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</si>
  <si>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</si>
  <si>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</si>
  <si>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</si>
  <si>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</si>
  <si>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</si>
  <si>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</si>
  <si>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</si>
  <si>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</si>
  <si>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</si>
  <si>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</si>
  <si>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</si>
  <si>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</si>
  <si>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</si>
  <si>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</si>
  <si>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</si>
  <si>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</si>
  <si>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</si>
  <si>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</si>
  <si>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</si>
  <si>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</si>
  <si>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</si>
  <si>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</si>
  <si>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</si>
  <si>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</si>
  <si>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</si>
  <si>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</si>
  <si>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</si>
  <si>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</si>
  <si>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</si>
  <si>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</si>
  <si>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</si>
  <si>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</si>
  <si>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</si>
  <si>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</si>
  <si>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</si>
  <si>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</si>
  <si>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</si>
  <si>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</si>
  <si>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</si>
  <si>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Emancipation Avenue Reconstruction and Bicycle/Pedestrian Improvements</t>
  </si>
  <si>
    <t>Non Freeway</t>
  </si>
  <si>
    <t>Emancipation Avenue</t>
  </si>
  <si>
    <t>Southmore to Elgin (first part)</t>
  </si>
  <si>
    <t>Pierce to McGowen (second part)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</si>
</sst>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1">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80" t="s">
        <v>34</v>
      </c>
      <c r="E6" s="181"/>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80" t="s">
        <v>34</v>
      </c>
      <c r="E6" s="181"/>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80" t="s">
        <v>35</v>
      </c>
      <c r="E8" s="181"/>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16" zoomScaleNormal="100" workbookViewId="0">
      <selection activeCell="C14" sqref="C14"/>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60" x14ac:dyDescent="0.25">
      <c r="B6" s="4" t="s">
        <v>166</v>
      </c>
      <c r="C6" s="178" t="s">
        <v>281</v>
      </c>
      <c r="D6" s="94"/>
    </row>
    <row r="7" spans="2:19" x14ac:dyDescent="0.25">
      <c r="B7" s="4" t="s">
        <v>117</v>
      </c>
      <c r="C7" s="179" t="s">
        <v>118</v>
      </c>
      <c r="D7" s="64"/>
      <c r="E7" s="4"/>
      <c r="F7" t="s">
        <v>257</v>
      </c>
    </row>
    <row r="8" spans="2:19" x14ac:dyDescent="0.25">
      <c r="B8" s="4" t="s">
        <v>126</v>
      </c>
      <c r="C8" s="179" t="s">
        <v>282</v>
      </c>
      <c r="D8" s="64"/>
      <c r="E8" s="86"/>
      <c r="F8" t="s">
        <v>263</v>
      </c>
    </row>
    <row r="9" spans="2:19" x14ac:dyDescent="0.25">
      <c r="B9" s="4" t="s">
        <v>167</v>
      </c>
      <c r="C9" s="179" t="s">
        <v>283</v>
      </c>
      <c r="D9" s="64"/>
      <c r="E9" s="122"/>
      <c r="F9" t="s">
        <v>268</v>
      </c>
    </row>
    <row r="10" spans="2:19" x14ac:dyDescent="0.25">
      <c r="B10" s="4" t="s">
        <v>114</v>
      </c>
      <c r="C10" s="179" t="s">
        <v>284</v>
      </c>
      <c r="D10" s="64"/>
      <c r="E10" s="9"/>
      <c r="F10" t="s">
        <v>258</v>
      </c>
    </row>
    <row r="11" spans="2:19" x14ac:dyDescent="0.25">
      <c r="B11" s="4" t="s">
        <v>115</v>
      </c>
      <c r="C11" s="179" t="s">
        <v>285</v>
      </c>
      <c r="D11" s="64"/>
    </row>
    <row r="12" spans="2:19" x14ac:dyDescent="0.25">
      <c r="B12" s="4" t="s">
        <v>116</v>
      </c>
      <c r="C12" s="121">
        <v>1.46</v>
      </c>
      <c r="D12" s="95"/>
      <c r="N12" s="182"/>
      <c r="O12" s="182"/>
      <c r="P12" s="182"/>
      <c r="Q12" s="182"/>
      <c r="R12" s="182"/>
      <c r="S12" s="182"/>
    </row>
    <row r="13" spans="2:19" x14ac:dyDescent="0.25">
      <c r="B13" s="4" t="s">
        <v>77</v>
      </c>
      <c r="C13" s="121">
        <v>194</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2022</v>
      </c>
      <c r="D17" s="96"/>
    </row>
    <row r="18" spans="2:13" ht="30" x14ac:dyDescent="0.25">
      <c r="B18" s="4" t="s">
        <v>259</v>
      </c>
      <c r="C18" s="120" t="s">
        <v>237</v>
      </c>
      <c r="D18" s="26"/>
    </row>
    <row r="19" spans="2:13" x14ac:dyDescent="0.25">
      <c r="B19" s="122" t="s">
        <v>251</v>
      </c>
      <c r="C19" s="174">
        <f>VLOOKUP(C18,'CRF Lookup Table'!C3:F84,2, FALSE)</f>
        <v>501</v>
      </c>
      <c r="D19" s="97"/>
    </row>
    <row r="20" spans="2:13" x14ac:dyDescent="0.25">
      <c r="B20" s="122" t="s">
        <v>102</v>
      </c>
      <c r="C20" s="175">
        <f>VLOOKUP(C18,'CRF Lookup Table'!C3:F84,3, FALSE)</f>
        <v>0.15</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8454</v>
      </c>
      <c r="D25" s="99"/>
      <c r="I25" s="49"/>
    </row>
    <row r="26" spans="2:13" x14ac:dyDescent="0.25">
      <c r="I26" s="49"/>
    </row>
    <row r="27" spans="2:13" x14ac:dyDescent="0.25">
      <c r="B27" s="86" t="s">
        <v>269</v>
      </c>
      <c r="C27" s="87">
        <v>1296</v>
      </c>
      <c r="D27" s="99"/>
      <c r="I27" s="49"/>
    </row>
    <row r="28" spans="2:13" x14ac:dyDescent="0.25">
      <c r="B28" s="86" t="s">
        <v>150</v>
      </c>
      <c r="C28" s="87">
        <v>10752</v>
      </c>
      <c r="D28" s="99"/>
      <c r="I28" s="49"/>
    </row>
    <row r="29" spans="2:13" x14ac:dyDescent="0.25">
      <c r="B29" s="86" t="s">
        <v>270</v>
      </c>
      <c r="C29" s="88">
        <v>1973</v>
      </c>
      <c r="D29" s="69"/>
      <c r="I29" s="49"/>
    </row>
    <row r="30" spans="2:13" x14ac:dyDescent="0.25">
      <c r="B30" s="86" t="s">
        <v>151</v>
      </c>
      <c r="C30" s="88">
        <v>10752</v>
      </c>
      <c r="D30" s="69"/>
      <c r="I30" s="49"/>
    </row>
    <row r="31" spans="2:13" x14ac:dyDescent="0.25">
      <c r="B31" s="86" t="s">
        <v>271</v>
      </c>
      <c r="C31" s="87">
        <v>2557</v>
      </c>
      <c r="D31" s="99"/>
      <c r="H31" s="70"/>
    </row>
    <row r="32" spans="2:13" x14ac:dyDescent="0.25">
      <c r="B32" s="86" t="s">
        <v>152</v>
      </c>
      <c r="C32" s="87">
        <v>10752</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3507.979837693777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10748.814723413689</v>
      </c>
      <c r="G4" s="185" t="s">
        <v>260</v>
      </c>
      <c r="H4" s="185"/>
      <c r="I4" s="185"/>
      <c r="J4" s="185"/>
      <c r="L4" s="136"/>
      <c r="M4" s="137">
        <v>2018</v>
      </c>
      <c r="N4" s="138">
        <f>_2018_Volume_ADT</f>
        <v>8454</v>
      </c>
      <c r="O4" s="139" t="s">
        <v>85</v>
      </c>
      <c r="P4" s="140">
        <f>MIN(B12,1)</f>
        <v>0.12053571428571429</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15693.269496183984</v>
      </c>
      <c r="G5" s="186" t="s">
        <v>261</v>
      </c>
      <c r="H5" s="186"/>
      <c r="I5" s="186"/>
      <c r="J5" s="143">
        <f>SUMPRODUCT(Possible_Crash_Reductions,'Value of Statistical Life'!E5:E11)</f>
        <v>326258.36963674729</v>
      </c>
      <c r="L5" s="136"/>
      <c r="M5" s="144">
        <f t="shared" ref="M5:M36" si="1">M4+1</f>
        <v>2019</v>
      </c>
      <c r="N5" s="145">
        <f>N4+(N4*O5)</f>
        <v>8977.1157895562319</v>
      </c>
      <c r="O5" s="146">
        <f t="shared" ref="O5:O11" si="2">IF(ISERROR(_2025_2045_Demand_Growth),_2018_2045_Demand_Growth,_2018_2025_Demand_Growth)</f>
        <v>6.1877902715428368E-2</v>
      </c>
      <c r="P5" s="147">
        <f t="shared" ref="P5:P11" si="3">P4*(1+IFERROR(_2018_2025_V_C_Growth,_2018_2045_V_C_Growth))</f>
        <v>0.1279942114880204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4080250.0690078358</v>
      </c>
      <c r="L6" s="136"/>
      <c r="M6" s="137">
        <f t="shared" si="1"/>
        <v>2020</v>
      </c>
      <c r="N6" s="145">
        <f t="shared" ref="N6:N36" si="6">N5+(N5*O6)</f>
        <v>9532.6008870475289</v>
      </c>
      <c r="O6" s="146">
        <f t="shared" si="2"/>
        <v>6.1877902715428368E-2</v>
      </c>
      <c r="P6" s="147">
        <f t="shared" si="3"/>
        <v>0.1359142248546141</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10122.458237361261</v>
      </c>
      <c r="O7" s="146">
        <f t="shared" si="2"/>
        <v>6.1877902715428368E-2</v>
      </c>
      <c r="P7" s="147">
        <f t="shared" si="3"/>
        <v>0.14432431203781076</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10748.814723413689</v>
      </c>
      <c r="O8" s="146">
        <f t="shared" si="2"/>
        <v>6.1877902715428368E-2</v>
      </c>
      <c r="P8" s="147">
        <f t="shared" si="3"/>
        <v>0.15325479777755754</v>
      </c>
      <c r="Q8" s="148">
        <f t="shared" si="4"/>
        <v>1</v>
      </c>
      <c r="R8" s="37">
        <f>IF(M8=Year_Open_to_Traffic?,Calculations!$J$5,Calculations!R7+(Calculations!R7*Calculations!O8*Q8))</f>
        <v>326258.36963674729</v>
      </c>
      <c r="S8" s="54">
        <f t="shared" si="0"/>
        <v>1</v>
      </c>
      <c r="T8" s="37">
        <f t="shared" si="5"/>
        <v>326.25836963674726</v>
      </c>
      <c r="U8" s="142">
        <f>T8/(1+Real_Discount_Rate)^(Calculations!M8-'Assumed Values'!$C$5)</f>
        <v>248.90094808630616</v>
      </c>
    </row>
    <row r="9" spans="1:21" ht="15.75" x14ac:dyDescent="0.25">
      <c r="A9" s="152" t="s">
        <v>76</v>
      </c>
      <c r="B9" s="153">
        <f>(_2025_Peak_Period_Volume/'Inputs &amp; Outputs'!$C$27)^(1/(2025-2018))-1</f>
        <v>6.1877902715428368E-2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11413.928835175246</v>
      </c>
      <c r="O9" s="146">
        <f t="shared" si="2"/>
        <v>6.1877902715428368E-2</v>
      </c>
      <c r="P9" s="147">
        <f t="shared" si="3"/>
        <v>0.1627378832451099</v>
      </c>
      <c r="Q9" s="148">
        <f t="shared" si="4"/>
        <v>1</v>
      </c>
      <c r="R9" s="37">
        <f>IF(M9=Year_Open_to_Traffic?,Calculations!$J$5,Calculations!R8+(Calculations!R8*Calculations!O9*Q9))</f>
        <v>346446.55329322419</v>
      </c>
      <c r="S9" s="54">
        <f t="shared" si="0"/>
        <v>1</v>
      </c>
      <c r="T9" s="37">
        <f t="shared" si="5"/>
        <v>346.44655329322421</v>
      </c>
      <c r="U9" s="142">
        <f>T9/(1+Real_Discount_Rate)^(Calculations!M9-'Assumed Values'!$C$5)</f>
        <v>247.01160442782103</v>
      </c>
    </row>
    <row r="10" spans="1:21" ht="15.75" x14ac:dyDescent="0.25">
      <c r="A10" s="152" t="s">
        <v>106</v>
      </c>
      <c r="B10" s="153">
        <f>(_2045_Peak_Period_Volume/_2025_Peak_Period_Volume)^(1/(2045-2025))-1</f>
        <v>1.3048370078224458E-2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12120.198813239042</v>
      </c>
      <c r="O10" s="146">
        <f t="shared" si="2"/>
        <v>6.1877902715428368E-2</v>
      </c>
      <c r="P10" s="147">
        <f t="shared" si="3"/>
        <v>0.17280776215266555</v>
      </c>
      <c r="Q10" s="148">
        <f t="shared" si="4"/>
        <v>1</v>
      </c>
      <c r="R10" s="37">
        <f>IF(M10=Year_Open_to_Traffic?,Calculations!$J$5,Calculations!R9+(Calculations!R9*Calculations!O10*Q10))</f>
        <v>367883.93941399781</v>
      </c>
      <c r="S10" s="54">
        <f t="shared" si="0"/>
        <v>1</v>
      </c>
      <c r="T10" s="37">
        <f t="shared" si="5"/>
        <v>367.88393941399784</v>
      </c>
      <c r="U10" s="142">
        <f>T10/(1+Real_Discount_Rate)^(Calculations!M10-'Assumed Values'!$C$5)</f>
        <v>245.13660229550248</v>
      </c>
    </row>
    <row r="11" spans="1:21" ht="15.75" x14ac:dyDescent="0.25">
      <c r="A11" s="152" t="s">
        <v>107</v>
      </c>
      <c r="B11" s="153">
        <f>(_2045_Peak_Period_Volume/'Inputs &amp; Outputs'!$C$27)^(1/(2045-2018))-1</f>
        <v>2.5487999367679315E-2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12870.171296296297</v>
      </c>
      <c r="O11" s="146">
        <f t="shared" si="2"/>
        <v>6.1877902715428368E-2</v>
      </c>
      <c r="P11" s="147">
        <f t="shared" si="3"/>
        <v>0.18350074404761907</v>
      </c>
      <c r="Q11" s="148">
        <f t="shared" si="4"/>
        <v>1</v>
      </c>
      <c r="R11" s="37">
        <f>IF(M11=Year_Open_to_Traffic?,Calculations!$J$5,Calculations!R10+(Calculations!R10*Calculations!O11*Q11))</f>
        <v>390647.82602762571</v>
      </c>
      <c r="S11" s="54">
        <f t="shared" si="0"/>
        <v>1</v>
      </c>
      <c r="T11" s="37">
        <f t="shared" si="5"/>
        <v>390.64782602762568</v>
      </c>
      <c r="U11" s="142">
        <f>T11/(1+Real_Discount_Rate)^(Calculations!M11-'Assumed Values'!$C$5)</f>
        <v>243.27583282648055</v>
      </c>
    </row>
    <row r="12" spans="1:21" ht="15.75" x14ac:dyDescent="0.25">
      <c r="A12" s="152" t="s">
        <v>75</v>
      </c>
      <c r="B12" s="156">
        <f>'Inputs &amp; Outputs'!C27/_2018_Peak_Period_Capacity</f>
        <v>0.12053571428571429</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13038.106054340513</v>
      </c>
      <c r="O12" s="146">
        <f t="shared" ref="O12:O36" si="7">IFERROR(_2025_2045_Demand_Growth,_2018_2045_Demand_Growth)</f>
        <v>1.3048370078224458E-2</v>
      </c>
      <c r="P12" s="147">
        <f t="shared" ref="P12:P36" si="8">P11*(1+IFERROR(_2025_2040_V_C_Growth,_2018_2045_V_C_Growth))</f>
        <v>0.18589512966558194</v>
      </c>
      <c r="Q12" s="148">
        <f t="shared" si="4"/>
        <v>1</v>
      </c>
      <c r="R12" s="37">
        <f>IF(M12=Year_Open_to_Traffic?,Calculations!$J$5,Calculations!R11+(Calculations!R11*Calculations!O12*Q12))</f>
        <v>395745.14343188802</v>
      </c>
      <c r="S12" s="54">
        <f t="shared" si="0"/>
        <v>1</v>
      </c>
      <c r="T12" s="37">
        <f t="shared" si="5"/>
        <v>395.74514343188804</v>
      </c>
      <c r="U12" s="142">
        <f>T12/(1+Real_Discount_Rate)^(Calculations!M12-'Assumed Values'!$C$5)</f>
        <v>230.32727656475586</v>
      </c>
    </row>
    <row r="13" spans="1:21" ht="15.75" x14ac:dyDescent="0.25">
      <c r="A13" s="152" t="s">
        <v>74</v>
      </c>
      <c r="B13" s="156">
        <f>_2025_Peak_Period_Volume/_2025_Peak_Period_Capacity</f>
        <v>0.18350074404761904</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13208.232087256687</v>
      </c>
      <c r="O13" s="146">
        <f t="shared" si="7"/>
        <v>1.3048370078224458E-2</v>
      </c>
      <c r="P13" s="147">
        <f t="shared" si="8"/>
        <v>0.18832075811319798</v>
      </c>
      <c r="Q13" s="148">
        <f t="shared" si="4"/>
        <v>1</v>
      </c>
      <c r="R13" s="37">
        <f>IF(M13=Year_Open_to_Traffic?,Calculations!$J$5,Calculations!R12+(Calculations!R12*Calculations!O13*Q13))</f>
        <v>400908.97252004733</v>
      </c>
      <c r="S13" s="54">
        <f t="shared" si="0"/>
        <v>1</v>
      </c>
      <c r="T13" s="37">
        <f t="shared" si="5"/>
        <v>400.90897252004731</v>
      </c>
      <c r="U13" s="142">
        <f>T13/(1+Real_Discount_Rate)^(Calculations!M13-'Assumed Values'!$C$5)</f>
        <v>218.06791785839468</v>
      </c>
    </row>
    <row r="14" spans="1:21" ht="15.75" x14ac:dyDescent="0.25">
      <c r="A14" s="152" t="s">
        <v>148</v>
      </c>
      <c r="B14" s="156">
        <f>_2045_Peak_Period_Volume/_2045_Peak_Period_Capacity</f>
        <v>0.23781622023809523</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13380.577987610292</v>
      </c>
      <c r="O14" s="146">
        <f t="shared" si="7"/>
        <v>1.3048370078224458E-2</v>
      </c>
      <c r="P14" s="147">
        <f>P13*(1+IFERROR(_2025_2040_V_C_Growth,_2018_2045_V_C_Growth))</f>
        <v>0.1907780370584708</v>
      </c>
      <c r="Q14" s="148">
        <f t="shared" si="4"/>
        <v>1</v>
      </c>
      <c r="R14" s="37">
        <f>IF(M14=Year_Open_to_Traffic?,Calculations!$J$5,Calculations!R13+(Calculations!R13*Calculations!O14*Q14))</f>
        <v>406140.1811611696</v>
      </c>
      <c r="S14" s="54">
        <f t="shared" si="0"/>
        <v>1</v>
      </c>
      <c r="T14" s="37">
        <f t="shared" si="5"/>
        <v>406.14018116116961</v>
      </c>
      <c r="U14" s="142">
        <f>T14/(1+Real_Discount_Rate)^(Calculations!M14-'Assumed Values'!$C$5)</f>
        <v>206.46107360074663</v>
      </c>
    </row>
    <row r="15" spans="1:21" ht="15.75" x14ac:dyDescent="0.25">
      <c r="A15" s="152" t="s">
        <v>80</v>
      </c>
      <c r="B15" s="153">
        <f>(B13/B12)^(1/(2025-2018))-1</f>
        <v>6.1877902715428368E-2</v>
      </c>
      <c r="L15" s="136"/>
      <c r="M15" s="144">
        <f>M14+1</f>
        <v>2029</v>
      </c>
      <c r="N15" s="145">
        <f t="shared" si="6"/>
        <v>13555.172721053175</v>
      </c>
      <c r="O15" s="146">
        <f t="shared" si="7"/>
        <v>1.3048370078224458E-2</v>
      </c>
      <c r="P15" s="147">
        <f>P14*(1+IFERROR(_2025_2040_V_C_Growth,_2018_2045_V_C_Growth))</f>
        <v>0.19326737948880693</v>
      </c>
      <c r="Q15" s="148">
        <f t="shared" si="4"/>
        <v>1</v>
      </c>
      <c r="R15" s="37">
        <f>IF(M15=Year_Open_to_Traffic?,Calculations!$J$5,Calculations!R14+(Calculations!R14*Calculations!O15*Q15))</f>
        <v>411439.64854859764</v>
      </c>
      <c r="S15" s="54">
        <f t="shared" si="0"/>
        <v>1</v>
      </c>
      <c r="T15" s="37">
        <f t="shared" si="5"/>
        <v>411.43964854859763</v>
      </c>
      <c r="U15" s="142">
        <f>T15/(1+Real_Discount_Rate)^(Calculations!M15-'Assumed Values'!$C$5)</f>
        <v>195.4720131736791</v>
      </c>
    </row>
    <row r="16" spans="1:21" ht="15.75" x14ac:dyDescent="0.25">
      <c r="A16" s="152" t="s">
        <v>108</v>
      </c>
      <c r="B16" s="153">
        <f>(B14/B13)^(1/(2045-2025))-1</f>
        <v>1.3048370078224458E-2</v>
      </c>
      <c r="D16" s="157" t="s">
        <v>136</v>
      </c>
      <c r="E16" s="151"/>
      <c r="L16" s="136"/>
      <c r="M16" s="137">
        <f t="shared" si="1"/>
        <v>2030</v>
      </c>
      <c r="N16" s="145">
        <f t="shared" si="6"/>
        <v>13732.04563119173</v>
      </c>
      <c r="O16" s="146">
        <f t="shared" si="7"/>
        <v>1.3048370078224458E-2</v>
      </c>
      <c r="P16" s="147">
        <f t="shared" si="8"/>
        <v>0.19578920378042552</v>
      </c>
      <c r="Q16" s="148">
        <f t="shared" si="4"/>
        <v>1</v>
      </c>
      <c r="R16" s="37">
        <f>IF(M16=Year_Open_to_Traffic?,Calculations!$J$5,Calculations!R15+(Calculations!R15*Calculations!O16*Q16))</f>
        <v>416808.26534771436</v>
      </c>
      <c r="S16" s="54">
        <f t="shared" si="0"/>
        <v>1</v>
      </c>
      <c r="T16" s="37">
        <f t="shared" si="5"/>
        <v>416.80826534771438</v>
      </c>
      <c r="U16" s="142">
        <f>T16/(1+Real_Discount_Rate)^(Calculations!M16-'Assumed Values'!$C$5)</f>
        <v>185.06785452477092</v>
      </c>
    </row>
    <row r="17" spans="1:21" ht="15.75" x14ac:dyDescent="0.25">
      <c r="A17" s="152" t="s">
        <v>109</v>
      </c>
      <c r="B17" s="153">
        <f>(B14/B12)^(1/(2045-2018))-1</f>
        <v>2.5487999367679315E-2</v>
      </c>
      <c r="D17" s="152" t="s">
        <v>89</v>
      </c>
      <c r="E17" s="158">
        <f>($E$6*Death_Rate)/100000000</f>
        <v>7.1223790663102776E-2</v>
      </c>
      <c r="L17" s="136"/>
      <c r="M17" s="144">
        <f t="shared" si="1"/>
        <v>2031</v>
      </c>
      <c r="N17" s="145">
        <f t="shared" si="6"/>
        <v>13911.226444518585</v>
      </c>
      <c r="O17" s="146">
        <f t="shared" si="7"/>
        <v>1.3048370078224458E-2</v>
      </c>
      <c r="P17" s="147">
        <f t="shared" si="8"/>
        <v>0.19834393376867343</v>
      </c>
      <c r="Q17" s="148">
        <f t="shared" si="4"/>
        <v>1</v>
      </c>
      <c r="R17" s="37">
        <f>IF(M17=Year_Open_to_Traffic?,Calculations!$J$5,Calculations!R16+(Calculations!R16*Calculations!O17*Q17))</f>
        <v>422246.93384563411</v>
      </c>
      <c r="S17" s="54">
        <f t="shared" si="0"/>
        <v>1</v>
      </c>
      <c r="T17" s="37">
        <f t="shared" si="5"/>
        <v>422.24693384563409</v>
      </c>
      <c r="U17" s="142">
        <f>T17/(1+Real_Discount_Rate)^(Calculations!M17-'Assumed Values'!$C$5)</f>
        <v>175.21746577588141</v>
      </c>
    </row>
    <row r="18" spans="1:21" ht="15.75" x14ac:dyDescent="0.25">
      <c r="D18" s="152" t="s">
        <v>94</v>
      </c>
      <c r="E18" s="158">
        <f>($E$6*Incap_Injry_Rate)/100000000</f>
        <v>0.36002477409381317</v>
      </c>
      <c r="L18" s="136"/>
      <c r="M18" s="137">
        <f t="shared" si="1"/>
        <v>2032</v>
      </c>
      <c r="N18" s="145">
        <f t="shared" si="6"/>
        <v>14092.745275408646</v>
      </c>
      <c r="O18" s="146">
        <f t="shared" si="7"/>
        <v>1.3048370078224458E-2</v>
      </c>
      <c r="P18" s="147">
        <f t="shared" si="8"/>
        <v>0.20093199881925791</v>
      </c>
      <c r="Q18" s="148">
        <f t="shared" si="4"/>
        <v>1</v>
      </c>
      <c r="R18" s="37">
        <f>IF(M18=Year_Open_to_Traffic?,Calculations!$J$5,Calculations!R17+(Calculations!R17*Calculations!O18*Q18))</f>
        <v>427756.56810284749</v>
      </c>
      <c r="S18" s="54">
        <f t="shared" si="0"/>
        <v>1</v>
      </c>
      <c r="T18" s="37">
        <f t="shared" si="5"/>
        <v>427.7565681028475</v>
      </c>
      <c r="U18" s="142">
        <f>T18/(1+Real_Discount_Rate)^(Calculations!M18-'Assumed Values'!$C$5)</f>
        <v>165.89137206868577</v>
      </c>
    </row>
    <row r="19" spans="1:21" ht="15.75" x14ac:dyDescent="0.25">
      <c r="D19" s="152" t="s">
        <v>93</v>
      </c>
      <c r="E19" s="158">
        <f>($E$6*Nonincap_Injry_Rate)/100000000</f>
        <v>2.0312565588790052</v>
      </c>
      <c r="L19" s="136"/>
      <c r="M19" s="144">
        <f t="shared" si="1"/>
        <v>2033</v>
      </c>
      <c r="N19" s="145">
        <f t="shared" si="6"/>
        <v>14276.632631180328</v>
      </c>
      <c r="O19" s="146">
        <f t="shared" si="7"/>
        <v>1.3048370078224458E-2</v>
      </c>
      <c r="P19" s="147">
        <f t="shared" si="8"/>
        <v>0.20355383390040896</v>
      </c>
      <c r="Q19" s="148">
        <f t="shared" si="4"/>
        <v>1</v>
      </c>
      <c r="R19" s="37">
        <f>IF(M19=Year_Open_to_Traffic?,Calculations!$J$5,Calculations!R18+(Calculations!R18*Calculations!O19*Q19))</f>
        <v>433338.09410684468</v>
      </c>
      <c r="S19" s="54">
        <f t="shared" si="0"/>
        <v>1</v>
      </c>
      <c r="T19" s="37">
        <f t="shared" si="5"/>
        <v>433.33809410684466</v>
      </c>
      <c r="U19" s="142">
        <f>T19/(1+Real_Discount_Rate)^(Calculations!M19-'Assumed Values'!$C$5)</f>
        <v>157.06166736843213</v>
      </c>
    </row>
    <row r="20" spans="1:21" ht="15.75" x14ac:dyDescent="0.25">
      <c r="D20" s="152" t="s">
        <v>92</v>
      </c>
      <c r="E20" s="158">
        <f>($E$6*Poss_Injry_Rate/100000000)</f>
        <v>5.0709041410494891</v>
      </c>
      <c r="L20" s="136"/>
      <c r="M20" s="137">
        <f t="shared" si="1"/>
        <v>2034</v>
      </c>
      <c r="N20" s="145">
        <f t="shared" si="6"/>
        <v>14462.919417222824</v>
      </c>
      <c r="O20" s="146">
        <f t="shared" si="7"/>
        <v>1.3048370078224458E-2</v>
      </c>
      <c r="P20" s="147">
        <f t="shared" si="8"/>
        <v>0.20620987965598292</v>
      </c>
      <c r="Q20" s="148">
        <f t="shared" si="4"/>
        <v>1</v>
      </c>
      <c r="R20" s="37">
        <f>IF(M20=Year_Open_to_Traffic?,Calculations!$J$5,Calculations!R19+(Calculations!R19*Calculations!O20*Q20))</f>
        <v>438992.44992774323</v>
      </c>
      <c r="S20" s="54">
        <f t="shared" si="0"/>
        <v>1</v>
      </c>
      <c r="T20" s="37">
        <f t="shared" si="5"/>
        <v>438.99244992774322</v>
      </c>
      <c r="U20" s="142">
        <f>T20/(1+Real_Discount_Rate)^(Calculations!M20-'Assumed Values'!$C$5)</f>
        <v>148.70193096201723</v>
      </c>
    </row>
    <row r="21" spans="1:21" ht="15.75" x14ac:dyDescent="0.25">
      <c r="D21" s="152" t="s">
        <v>91</v>
      </c>
      <c r="E21" s="158">
        <f>($E$6*Non_Injry_Rate)/100000000</f>
        <v>39.319668020974461</v>
      </c>
      <c r="L21" s="136"/>
      <c r="M21" s="144">
        <f>M20+1</f>
        <v>2035</v>
      </c>
      <c r="N21" s="145">
        <f t="shared" si="6"/>
        <v>14651.636942190285</v>
      </c>
      <c r="O21" s="146">
        <f t="shared" si="7"/>
        <v>1.3048370078224458E-2</v>
      </c>
      <c r="P21" s="147">
        <f>P20*(1+IFERROR(_2025_2040_V_C_Growth,_2018_2045_V_C_Growth))</f>
        <v>0.20890058247952031</v>
      </c>
      <c r="Q21" s="148">
        <f t="shared" si="4"/>
        <v>1</v>
      </c>
      <c r="R21" s="37">
        <f>IF(M21=Year_Open_to_Traffic?,Calculations!$J$5,Calculations!R20+(Calculations!R20*Calculations!O21*Q21))</f>
        <v>444720.58587594685</v>
      </c>
      <c r="S21" s="54">
        <f t="shared" si="0"/>
        <v>1</v>
      </c>
      <c r="T21" s="37">
        <f t="shared" si="5"/>
        <v>444.72058587594688</v>
      </c>
      <c r="U21" s="142">
        <f>T21/(1+Real_Discount_Rate)^(Calculations!M21-'Assumed Values'!$C$5)</f>
        <v>140.78714840051984</v>
      </c>
    </row>
    <row r="22" spans="1:21" ht="15.75" x14ac:dyDescent="0.25">
      <c r="D22" s="152" t="s">
        <v>90</v>
      </c>
      <c r="E22" s="158">
        <f>($E$6*Unkn_Injry_Rate)/100000000</f>
        <v>3.4118493269260526</v>
      </c>
      <c r="L22" s="136"/>
      <c r="M22" s="137">
        <f>M21+1</f>
        <v>2036</v>
      </c>
      <c r="N22" s="145">
        <f t="shared" si="6"/>
        <v>14842.81692326377</v>
      </c>
      <c r="O22" s="146">
        <f t="shared" si="7"/>
        <v>1.3048370078224458E-2</v>
      </c>
      <c r="P22" s="147">
        <f t="shared" si="8"/>
        <v>0.21162639458926974</v>
      </c>
      <c r="Q22" s="148">
        <f t="shared" si="4"/>
        <v>1</v>
      </c>
      <c r="R22" s="37">
        <f>IF(M22=Year_Open_to_Traffic?,Calculations!$J$5,Calculations!R21+(Calculations!R21*Calculations!O22*Q22))</f>
        <v>450523.46466186101</v>
      </c>
      <c r="S22" s="54">
        <f t="shared" si="0"/>
        <v>1</v>
      </c>
      <c r="T22" s="37">
        <f t="shared" si="5"/>
        <v>450.523464661861</v>
      </c>
      <c r="U22" s="142">
        <f>T22/(1+Real_Discount_Rate)^(Calculations!M22-'Assumed Values'!$C$5)</f>
        <v>133.29363664963338</v>
      </c>
    </row>
    <row r="23" spans="1:21" ht="15.75" x14ac:dyDescent="0.25">
      <c r="L23" s="136"/>
      <c r="M23" s="144">
        <f t="shared" si="1"/>
        <v>2037</v>
      </c>
      <c r="N23" s="145">
        <f t="shared" si="6"/>
        <v>15036.491491481849</v>
      </c>
      <c r="O23" s="146">
        <f t="shared" si="7"/>
        <v>1.3048370078224458E-2</v>
      </c>
      <c r="P23" s="147">
        <f t="shared" si="8"/>
        <v>0.21438777410419088</v>
      </c>
      <c r="Q23" s="148">
        <f t="shared" si="4"/>
        <v>1</v>
      </c>
      <c r="R23" s="37">
        <f>IF(M23=Year_Open_to_Traffic?,Calculations!$J$5,Calculations!R22+(Calculations!R22*Calculations!O23*Q23))</f>
        <v>456402.06155769288</v>
      </c>
      <c r="S23" s="54">
        <f t="shared" si="0"/>
        <v>1</v>
      </c>
      <c r="T23" s="37">
        <f t="shared" si="5"/>
        <v>456.40206155769289</v>
      </c>
      <c r="U23" s="142">
        <f>T23/(1+Real_Discount_Rate)^(Calculations!M23-'Assumed Values'!$C$5)</f>
        <v>126.19897322402821</v>
      </c>
    </row>
    <row r="24" spans="1:21" ht="15.75" x14ac:dyDescent="0.25">
      <c r="L24" s="136"/>
      <c r="M24" s="137">
        <f t="shared" si="1"/>
        <v>2038</v>
      </c>
      <c r="N24" s="145">
        <f t="shared" si="6"/>
        <v>15232.693197140778</v>
      </c>
      <c r="O24" s="146">
        <f t="shared" si="7"/>
        <v>1.3048370078224458E-2</v>
      </c>
      <c r="P24" s="147">
        <f t="shared" si="8"/>
        <v>0.21718518512094914</v>
      </c>
      <c r="Q24" s="148">
        <f t="shared" si="4"/>
        <v>1</v>
      </c>
      <c r="R24" s="37">
        <f>IF(M24=Year_Open_to_Traffic?,Calculations!$J$5,Calculations!R23+(Calculations!R23*Calculations!O24*Q24))</f>
        <v>462357.36456136225</v>
      </c>
      <c r="S24" s="54">
        <f t="shared" si="0"/>
        <v>1</v>
      </c>
      <c r="T24" s="37">
        <f t="shared" si="5"/>
        <v>462.35736456136226</v>
      </c>
      <c r="U24" s="142">
        <f>T24/(1+Real_Discount_Rate)^(Calculations!M24-'Assumed Values'!$C$5)</f>
        <v>119.4819290935956</v>
      </c>
    </row>
    <row r="25" spans="1:21" ht="15.75" x14ac:dyDescent="0.25">
      <c r="A25" s="183" t="s">
        <v>99</v>
      </c>
      <c r="B25" s="183"/>
      <c r="D25" s="159" t="s">
        <v>89</v>
      </c>
      <c r="E25" s="159" t="s">
        <v>94</v>
      </c>
      <c r="F25" s="159" t="s">
        <v>93</v>
      </c>
      <c r="G25" s="159" t="s">
        <v>92</v>
      </c>
      <c r="H25" s="159" t="s">
        <v>91</v>
      </c>
      <c r="I25" s="159" t="s">
        <v>90</v>
      </c>
      <c r="J25" s="184" t="s">
        <v>100</v>
      </c>
      <c r="L25" s="136"/>
      <c r="M25" s="144">
        <f t="shared" si="1"/>
        <v>2039</v>
      </c>
      <c r="N25" s="145">
        <f t="shared" si="6"/>
        <v>15431.455015265123</v>
      </c>
      <c r="O25" s="146">
        <f t="shared" si="7"/>
        <v>1.3048370078224458E-2</v>
      </c>
      <c r="P25" s="147">
        <f t="shared" si="8"/>
        <v>0.22001909779191497</v>
      </c>
      <c r="Q25" s="148">
        <f t="shared" si="4"/>
        <v>1</v>
      </c>
      <c r="R25" s="37">
        <f>IF(M25=Year_Open_to_Traffic?,Calculations!$J$5,Calculations!R24+(Calculations!R24*Calculations!O25*Q25))</f>
        <v>468390.37456255144</v>
      </c>
      <c r="S25" s="54">
        <f t="shared" si="0"/>
        <v>1</v>
      </c>
      <c r="T25" s="37">
        <f t="shared" si="5"/>
        <v>468.39037456255141</v>
      </c>
      <c r="U25" s="142">
        <f>T25/(1+Real_Discount_Rate)^(Calculations!M25-'Assumed Values'!$C$5)</f>
        <v>113.12240516081214</v>
      </c>
    </row>
    <row r="26" spans="1:21" ht="15.75" x14ac:dyDescent="0.25">
      <c r="A26" s="183"/>
      <c r="B26" s="183"/>
      <c r="D26" s="160">
        <f>Calculations!E17</f>
        <v>7.1223790663102776E-2</v>
      </c>
      <c r="E26" s="160">
        <f>Calculations!E18</f>
        <v>0.36002477409381317</v>
      </c>
      <c r="F26" s="160">
        <f>Calculations!E19</f>
        <v>2.0312565588790052</v>
      </c>
      <c r="G26" s="160">
        <f>Calculations!E20</f>
        <v>5.0709041410494891</v>
      </c>
      <c r="H26" s="160">
        <f>Calculations!E21</f>
        <v>39.319668020974461</v>
      </c>
      <c r="I26" s="160">
        <f>Calculations!E22</f>
        <v>3.4118493269260526</v>
      </c>
      <c r="J26" s="184"/>
      <c r="L26" s="136"/>
      <c r="M26" s="137">
        <f t="shared" si="1"/>
        <v>2040</v>
      </c>
      <c r="N26" s="145">
        <f t="shared" si="6"/>
        <v>15632.810351149776</v>
      </c>
      <c r="O26" s="146">
        <f t="shared" si="7"/>
        <v>1.3048370078224458E-2</v>
      </c>
      <c r="P26" s="147">
        <f t="shared" si="8"/>
        <v>0.22288998840418095</v>
      </c>
      <c r="Q26" s="148">
        <f t="shared" si="4"/>
        <v>1</v>
      </c>
      <c r="R26" s="37">
        <f>IF(M26=Year_Open_to_Traffic?,Calculations!$J$5,Calculations!R25+(Calculations!R25*Calculations!O26*Q26))</f>
        <v>474502.1055109218</v>
      </c>
      <c r="S26" s="54">
        <f t="shared" si="0"/>
        <v>1</v>
      </c>
      <c r="T26" s="37">
        <f t="shared" si="5"/>
        <v>474.50210551092181</v>
      </c>
      <c r="U26" s="142">
        <f>T26/(1+Real_Discount_Rate)^(Calculations!M26-'Assumed Values'!$C$5)</f>
        <v>107.10137211914885</v>
      </c>
    </row>
    <row r="27" spans="1:21" ht="15.75" x14ac:dyDescent="0.25">
      <c r="A27" s="161" t="s">
        <v>95</v>
      </c>
      <c r="B27" s="162" t="s">
        <v>96</v>
      </c>
      <c r="D27" s="163">
        <f>D$26*'Value of Statistical Life'!D17*Appropriate_Crash_Reduction_Factor</f>
        <v>0</v>
      </c>
      <c r="E27" s="163">
        <f>E$26*'Value of Statistical Life'!E17*Appropriate_Crash_Reduction_Factor</f>
        <v>1.8561077228406535E-3</v>
      </c>
      <c r="F27" s="163">
        <f>F$26*'Value of Statistical Life'!F17*Appropriate_Crash_Reduction_Factor</f>
        <v>2.5432347745444586E-2</v>
      </c>
      <c r="G27" s="163">
        <f>G$26*'Value of Statistical Life'!G17*Appropriate_Crash_Reduction_Factor</f>
        <v>0.1782701705306653</v>
      </c>
      <c r="H27" s="163">
        <f>H$26*'Value of Statistical Life'!H17*Appropriate_Crash_Reduction_Factor</f>
        <v>5.4576092409792762</v>
      </c>
      <c r="I27" s="163">
        <f>I$26*'Value of Statistical Life'!I17*Appropriate_Crash_Reduction_Factor</f>
        <v>0.22352389680423337</v>
      </c>
      <c r="J27" s="163">
        <f t="shared" ref="J27:J33" si="9">SUM(D27:I27)</f>
        <v>5.8866917637824603</v>
      </c>
      <c r="K27" s="164"/>
      <c r="L27" s="136"/>
      <c r="M27" s="144">
        <f t="shared" si="1"/>
        <v>2041</v>
      </c>
      <c r="N27" s="145">
        <f t="shared" si="6"/>
        <v>15836.793045974277</v>
      </c>
      <c r="O27" s="146">
        <f t="shared" si="7"/>
        <v>1.3048370078224458E-2</v>
      </c>
      <c r="P27" s="147">
        <f t="shared" si="8"/>
        <v>0.22579833945960986</v>
      </c>
      <c r="Q27" s="148">
        <f t="shared" si="4"/>
        <v>1</v>
      </c>
      <c r="R27" s="37">
        <f>IF(M27=Year_Open_to_Traffic?,Calculations!$J$5,Calculations!R26+(Calculations!R26*Calculations!O27*Q27))</f>
        <v>480693.58458652504</v>
      </c>
      <c r="S27" s="54">
        <f t="shared" si="0"/>
        <v>1</v>
      </c>
      <c r="T27" s="37">
        <f t="shared" si="5"/>
        <v>480.69358458652505</v>
      </c>
      <c r="U27" s="142">
        <f>T27/(1+Real_Discount_Rate)^(Calculations!M27-'Assumed Values'!$C$5)</f>
        <v>101.40081351256555</v>
      </c>
    </row>
    <row r="28" spans="1:21" ht="15.75" x14ac:dyDescent="0.25">
      <c r="A28" s="161" t="s">
        <v>61</v>
      </c>
      <c r="B28" s="165" t="s">
        <v>62</v>
      </c>
      <c r="D28" s="163">
        <f>D$26*'Value of Statistical Life'!D18*Appropriate_Crash_Reduction_Factor</f>
        <v>0</v>
      </c>
      <c r="E28" s="163">
        <f>E$26*'Value of Statistical Life'!E18*Appropriate_Crash_Reduction_Factor</f>
        <v>2.9944520548091769E-2</v>
      </c>
      <c r="F28" s="163">
        <f>F$26*'Value of Statistical Life'!F18*Appropriate_Crash_Reduction_Factor</f>
        <v>0.23413177163090906</v>
      </c>
      <c r="G28" s="163">
        <f>G$26*'Value of Statistical Life'!G18*Appropriate_Crash_Reduction_Factor</f>
        <v>0.52442783536319704</v>
      </c>
      <c r="H28" s="163">
        <f>H$26*'Value of Statistical Life'!H18*Appropriate_Crash_Reduction_Factor</f>
        <v>0.42801424624231743</v>
      </c>
      <c r="I28" s="163">
        <f>I$26*'Value of Statistical Life'!I18*Appropriate_Crash_Reduction_Factor</f>
        <v>0.21361076858484976</v>
      </c>
      <c r="J28" s="163">
        <f t="shared" si="9"/>
        <v>1.4301291423693652</v>
      </c>
      <c r="K28" s="164"/>
      <c r="L28" s="136"/>
      <c r="M28" s="137">
        <f t="shared" si="1"/>
        <v>2042</v>
      </c>
      <c r="N28" s="145">
        <f t="shared" si="6"/>
        <v>16043.4373824904</v>
      </c>
      <c r="O28" s="146">
        <f t="shared" si="7"/>
        <v>1.3048370078224458E-2</v>
      </c>
      <c r="P28" s="147">
        <f t="shared" si="8"/>
        <v>0.2287446397559274</v>
      </c>
      <c r="Q28" s="148">
        <f t="shared" si="4"/>
        <v>1</v>
      </c>
      <c r="R28" s="37">
        <f>IF(M28=Year_Open_to_Traffic?,Calculations!$J$5,Calculations!R27+(Calculations!R27*Calculations!O28*Q28))</f>
        <v>486965.8523724383</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1.1291096965130169E-2</v>
      </c>
      <c r="F29" s="163">
        <f>F$26*'Value of Statistical Life'!F19*Appropriate_Crash_Reduction_Factor</f>
        <v>3.3204950967995098E-2</v>
      </c>
      <c r="G29" s="163">
        <f>G$26*'Value of Statistical Life'!G19*Appropriate_Crash_Reduction_Factor</f>
        <v>4.8612222548170922E-2</v>
      </c>
      <c r="H29" s="163">
        <f>H$26*'Value of Statistical Life'!H19*Appropriate_Crash_Reduction_Factor</f>
        <v>1.1677941402229415E-2</v>
      </c>
      <c r="I29" s="163">
        <f>I$26*'Value of Statistical Life'!I19*Appropriate_Crash_Reduction_Factor</f>
        <v>4.5404890842731901E-2</v>
      </c>
      <c r="J29" s="163">
        <f t="shared" si="9"/>
        <v>0.15019110272625752</v>
      </c>
      <c r="K29" s="164"/>
      <c r="L29" s="136"/>
      <c r="M29" s="144">
        <f t="shared" si="1"/>
        <v>2043</v>
      </c>
      <c r="N29" s="145">
        <f t="shared" si="6"/>
        <v>16252.778090783955</v>
      </c>
      <c r="O29" s="146">
        <f t="shared" si="7"/>
        <v>1.3048370078224458E-2</v>
      </c>
      <c r="P29" s="147">
        <f t="shared" si="8"/>
        <v>0.23172938446887287</v>
      </c>
      <c r="Q29" s="148">
        <f t="shared" si="4"/>
        <v>1</v>
      </c>
      <c r="R29" s="37">
        <f>IF(M29=Year_Open_to_Traffic?,Calculations!$J$5,Calculations!R28+(Calculations!R28*Calculations!O29*Q29))</f>
        <v>493319.9630296519</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7.7965164953885712E-3</v>
      </c>
      <c r="F30" s="163">
        <f>F$26*'Value of Statistical Life'!F20*Appropriate_Crash_Reduction_Factor</f>
        <v>9.7226095190743583E-3</v>
      </c>
      <c r="G30" s="163">
        <f>G$26*'Value of Statistical Life'!G20*Appropriate_Crash_Reduction_Factor</f>
        <v>8.1464075025960044E-3</v>
      </c>
      <c r="H30" s="163">
        <f>H$26*'Value of Statistical Life'!H20*Appropriate_Crash_Reduction_Factor</f>
        <v>4.7183601625169357E-4</v>
      </c>
      <c r="I30" s="163">
        <f>I$26*'Value of Statistical Life'!I20*Appropriate_Crash_Reduction_Factor</f>
        <v>2.465231731170419E-2</v>
      </c>
      <c r="J30" s="163">
        <f t="shared" si="9"/>
        <v>5.0789686845014823E-2</v>
      </c>
      <c r="K30" s="164"/>
      <c r="L30" s="136"/>
      <c r="M30" s="144">
        <f t="shared" si="1"/>
        <v>2044</v>
      </c>
      <c r="N30" s="145">
        <f t="shared" si="6"/>
        <v>16464.850354111764</v>
      </c>
      <c r="O30" s="146">
        <f t="shared" si="7"/>
        <v>1.3048370078224458E-2</v>
      </c>
      <c r="P30" s="147">
        <f t="shared" si="8"/>
        <v>0.23475307523542188</v>
      </c>
      <c r="Q30" s="148">
        <f t="shared" si="4"/>
        <v>1</v>
      </c>
      <c r="R30" s="37">
        <f>IF(M30=Year_Open_to_Traffic?,Calculations!$J$5,Calculations!R29+(Calculations!R29*Calculations!O30*Q30))</f>
        <v>499756.98447423882</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2.1525881243069089E-3</v>
      </c>
      <c r="F31" s="163">
        <f>F$26*'Value of Statistical Life'!F21*Appropriate_Crash_Reduction_Factor</f>
        <v>1.8890685997574746E-3</v>
      </c>
      <c r="G31" s="163">
        <f>G$26*'Value of Statistical Life'!G21*Appropriate_Crash_Reduction_Factor</f>
        <v>1.0801025820435413E-3</v>
      </c>
      <c r="H31" s="163">
        <f>H$26*'Value of Statistical Life'!H21*Appropriate_Crash_Reduction_Factor</f>
        <v>0</v>
      </c>
      <c r="I31" s="163">
        <f>I$26*'Value of Statistical Life'!I21*Appropriate_Crash_Reduction_Factor</f>
        <v>3.1576665520700615E-3</v>
      </c>
      <c r="J31" s="163">
        <f t="shared" si="9"/>
        <v>8.279425858177987E-3</v>
      </c>
      <c r="K31" s="164"/>
      <c r="L31" s="136"/>
      <c r="M31" s="144">
        <f t="shared" si="1"/>
        <v>2045</v>
      </c>
      <c r="N31" s="145">
        <f t="shared" si="6"/>
        <v>16679.689814814799</v>
      </c>
      <c r="O31" s="146">
        <f t="shared" si="7"/>
        <v>1.3048370078224458E-2</v>
      </c>
      <c r="P31" s="147">
        <f t="shared" si="8"/>
        <v>0.23781622023809493</v>
      </c>
      <c r="Q31" s="148">
        <f t="shared" si="4"/>
        <v>1</v>
      </c>
      <c r="R31" s="37">
        <f>IF(M31=Year_Open_to_Traffic?,Calculations!$J$5,Calculations!R30+(Calculations!R30*Calculations!O31*Q31))</f>
        <v>506277.99855683616</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9.6288625831390329E-4</v>
      </c>
      <c r="F32" s="163">
        <f>F$26*'Value of Statistical Life'!F22*Appropriate_Crash_Reduction_Factor</f>
        <v>3.0773536867016932E-4</v>
      </c>
      <c r="G32" s="163">
        <f>G$26*'Value of Statistical Life'!G22*Appropriate_Crash_Reduction_Factor</f>
        <v>9.8882630750465021E-5</v>
      </c>
      <c r="H32" s="163">
        <f>H$26*'Value of Statistical Life'!H22*Appropriate_Crash_Reduction_Factor</f>
        <v>1.7693850609438506E-4</v>
      </c>
      <c r="I32" s="163">
        <f>I$26*'Value of Statistical Life'!I22*Appropriate_Crash_Reduction_Factor</f>
        <v>1.4278589433185528E-3</v>
      </c>
      <c r="J32" s="163">
        <f t="shared" si="9"/>
        <v>2.9743017071474755E-3</v>
      </c>
      <c r="K32" s="164"/>
      <c r="L32" s="136"/>
      <c r="M32" s="144">
        <f t="shared" si="1"/>
        <v>2046</v>
      </c>
      <c r="N32" s="145">
        <f t="shared" si="6"/>
        <v>16897.332580308495</v>
      </c>
      <c r="O32" s="146">
        <f t="shared" si="7"/>
        <v>1.3048370078224458E-2</v>
      </c>
      <c r="P32" s="147">
        <f t="shared" si="8"/>
        <v>0.24091933429036613</v>
      </c>
      <c r="Q32" s="148">
        <f t="shared" si="4"/>
        <v>1</v>
      </c>
      <c r="R32" s="37">
        <f>IF(M32=Year_Open_to_Traffic?,Calculations!$J$5,Calculations!R31+(Calculations!R31*Calculations!O32*Q32))</f>
        <v>512884.10124446853</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1.0683568599465416E-2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1.0683568599465416E-2</v>
      </c>
      <c r="K33" s="164"/>
      <c r="L33" s="136"/>
      <c r="M33" s="144">
        <f t="shared" si="1"/>
        <v>2047</v>
      </c>
      <c r="N33" s="145">
        <f t="shared" si="6"/>
        <v>17117.815229151201</v>
      </c>
      <c r="O33" s="146">
        <f t="shared" si="7"/>
        <v>1.3048370078224458E-2</v>
      </c>
      <c r="P33" s="147">
        <f t="shared" si="8"/>
        <v>0.24406293892318631</v>
      </c>
      <c r="Q33" s="148">
        <f t="shared" si="4"/>
        <v>1</v>
      </c>
      <c r="R33" s="37">
        <f>IF(M33=Year_Open_to_Traffic?,Calculations!$J$5,Calculations!R32+(Calculations!R32*Calculations!O33*Q33))</f>
        <v>519576.40280474391</v>
      </c>
      <c r="S33" s="54">
        <f t="shared" si="0"/>
        <v>0</v>
      </c>
      <c r="T33" s="37">
        <f t="shared" si="5"/>
        <v>0</v>
      </c>
      <c r="U33" s="142">
        <f>T33/(1+Real_Discount_Rate)^(Calculations!M33-'Assumed Values'!$C$5)</f>
        <v>0</v>
      </c>
    </row>
    <row r="34" spans="1:21" ht="15.75" x14ac:dyDescent="0.25">
      <c r="J34" s="166"/>
      <c r="L34" s="136"/>
      <c r="M34" s="144">
        <f t="shared" si="1"/>
        <v>2048</v>
      </c>
      <c r="N34" s="145">
        <f t="shared" si="6"/>
        <v>17341.174817191833</v>
      </c>
      <c r="O34" s="146">
        <f t="shared" si="7"/>
        <v>1.3048370078224458E-2</v>
      </c>
      <c r="P34" s="147">
        <f t="shared" si="8"/>
        <v>0.24724756247263513</v>
      </c>
      <c r="Q34" s="148">
        <f t="shared" si="4"/>
        <v>1</v>
      </c>
      <c r="R34" s="37">
        <f>IF(M34=Year_Open_to_Traffic?,Calculations!$J$5,Calculations!R33+(Calculations!R33*Calculations!O34*Q34))</f>
        <v>526356.02799245284</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17567.448883797741</v>
      </c>
      <c r="O35" s="146">
        <f t="shared" si="7"/>
        <v>1.3048370078224458E-2</v>
      </c>
      <c r="P35" s="147">
        <f t="shared" si="8"/>
        <v>0.25047374016871699</v>
      </c>
      <c r="Q35" s="148">
        <f t="shared" si="4"/>
        <v>1</v>
      </c>
      <c r="R35" s="37">
        <f>IF(M35=Year_Open_to_Traffic?,Calculations!$J$5,Calculations!R34+(Calculations!R34*Calculations!O35*Q35))</f>
        <v>533224.11623860267</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17796.675458163823</v>
      </c>
      <c r="O36" s="146">
        <f t="shared" si="7"/>
        <v>1.3048370078224458E-2</v>
      </c>
      <c r="P36" s="147">
        <f t="shared" si="8"/>
        <v>0.25374201422531545</v>
      </c>
      <c r="Q36" s="148">
        <f t="shared" si="4"/>
        <v>1</v>
      </c>
      <c r="R36" s="37">
        <f>IF(M36=Year_Open_to_Traffic?,Calculations!$J$5,Calculations!R35+(Calculations!R35*Calculations!O36*Q36))</f>
        <v>540181.82184191816</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3507.979837693777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7" t="s">
        <v>73</v>
      </c>
      <c r="C12" s="188"/>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9"/>
      <c r="T12" s="189"/>
      <c r="U12" s="189"/>
      <c r="V12" s="189"/>
      <c r="W12" s="189"/>
      <c r="X12" s="189"/>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9"/>
      <c r="T26" s="189"/>
      <c r="U26" s="189"/>
      <c r="V26" s="189"/>
      <c r="W26" s="189"/>
      <c r="X26" s="189"/>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90" t="s">
        <v>97</v>
      </c>
      <c r="C24" s="190"/>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37" workbookViewId="0">
      <selection activeCell="A42" sqref="A42:XFD42"/>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2018-10-24T21:04:55Z</dcterms:modified>
</cp:coreProperties>
</file>