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tgchoudc01\TGC_Projects\Houston_TX\H-GAC\2018 H-GAC Call for Projects\TIP Matrix For Call\Tech Services Folder\BCA files\GSMD - Caroline\"/>
    </mc:Choice>
  </mc:AlternateContent>
  <xr:revisionPtr revIDLastSave="0" documentId="13_ncr:1_{F595FCA7-E174-43A2-A0A1-9DB665E07593}" xr6:coauthVersionLast="37" xr6:coauthVersionMax="37" xr10:uidLastSave="{00000000-0000-0000-0000-000000000000}"/>
  <bookViews>
    <workbookView xWindow="12108" yWindow="0" windowWidth="17496" windowHeight="7992"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M20" i="12"/>
  <c r="Q19" i="12" l="1"/>
  <c r="S12" i="12"/>
  <c r="T12" i="12" s="1"/>
  <c r="S13" i="12"/>
  <c r="T13" i="12" s="1"/>
  <c r="G19" i="7"/>
  <c r="H18" i="7"/>
  <c r="I18" i="7" s="1"/>
  <c r="J18" i="7" s="1"/>
  <c r="H27" i="5"/>
  <c r="I27" i="5" s="1"/>
  <c r="J27" i="5"/>
  <c r="K27" i="5" s="1"/>
  <c r="G28" i="5"/>
  <c r="R20" i="12"/>
  <c r="O21" i="12"/>
  <c r="P20" i="12"/>
  <c r="M21" i="12"/>
  <c r="Q20" i="12" l="1"/>
  <c r="S14" i="12"/>
  <c r="T14" i="12" s="1"/>
  <c r="H28" i="5"/>
  <c r="I28" i="5" s="1"/>
  <c r="J28" i="5"/>
  <c r="K28" i="5" s="1"/>
  <c r="G29" i="5"/>
  <c r="G20" i="7"/>
  <c r="H19" i="7"/>
  <c r="I19" i="7" s="1"/>
  <c r="J19" i="7" s="1"/>
  <c r="R21" i="12"/>
  <c r="O22" i="12"/>
  <c r="P21" i="12"/>
  <c r="M22" i="12"/>
  <c r="Q21" i="12" l="1"/>
  <c r="S15" i="12"/>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<sst xmlns="http://schemas.openxmlformats.org/spreadsheetml/2006/main" count="364" uniqueCount="208">
  <si>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</si>
  <si>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</si>
  <si>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</si>
  <si>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</si>
  <si>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</si>
  <si>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</si>
  <si>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</si>
  <si>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</si>
  <si>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</si>
  <si>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</si>
  <si>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</si>
  <si>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</si>
  <si>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</si>
  <si>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</si>
  <si>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</si>
  <si>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</si>
  <si>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</si>
  <si>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</si>
  <si>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</si>
  <si>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</si>
  <si>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</si>
  <si>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</si>
  <si>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</si>
  <si>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</si>
  <si>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</si>
  <si>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</si>
  <si>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</si>
  <si>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</si>
  <si>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</si>
  <si>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</si>
  <si>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</si>
  <si>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</si>
  <si>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</si>
  <si>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</si>
  <si>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</si>
  <si>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</si>
  <si>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</si>
  <si>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</si>
  <si>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</si>
  <si>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</si>
  <si>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</si>
  <si>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</si>
  <si>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</si>
  <si>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</si>
  <si>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</si>
  <si>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</si>
  <si>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</si>
  <si>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</si>
  <si>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</si>
  <si>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</si>
  <si>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</si>
  <si>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</si>
  <si>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</si>
  <si>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</si>
  <si>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</si>
  <si>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</si>
  <si>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</si>
  <si>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</si>
  <si>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</si>
  <si>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</si>
  <si>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</si>
  <si>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</si>
  <si>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</si>
  <si>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</si>
  <si>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</si>
  <si>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</si>
  <si>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</si>
  <si>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</si>
  <si>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</si>
  <si>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</si>
  <si>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</si>
  <si>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</si>
  <si>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</si>
  <si>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</si>
  <si>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</si>
  <si>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</si>
  <si>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</si>
  <si>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</si>
  <si>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</si>
  <si>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</si>
  <si>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</si>
  <si>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</si>
  <si>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</si>
  <si>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</si>
  <si>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</si>
  <si>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</si>
  <si>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</si>
  <si>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</si>
  <si>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</si>
  <si>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</si>
  <si>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</si>
  <si>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</si>
  <si>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</si>
  <si>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</si>
  <si>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</si>
  <si>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</si>
  <si>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</si>
  <si>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</si>
  <si>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</si>
  <si>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</si>
  <si>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</si>
  <si>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</si>
  <si>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</si>
  <si>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</si>
  <si>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</si>
  <si>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</si>
  <si>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</si>
  <si>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</si>
  <si>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</si>
  <si>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</si>
  <si>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</si>
  <si>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</si>
  <si>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</si>
  <si>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</si>
  <si>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</si>
  <si>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</si>
  <si>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</si>
  <si>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</si>
  <si>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</si>
  <si>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</si>
  <si>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</si>
  <si>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</si>
  <si>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</si>
  <si>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</si>
  <si>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</si>
  <si>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</si>
  <si>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</si>
  <si>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</si>
  <si>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</si>
  <si>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</si>
  <si>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</si>
  <si>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</si>
  <si>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</si>
  <si>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</si>
  <si>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</si>
  <si>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</si>
  <si>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</si>
  <si>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</si>
  <si>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</si>
  <si>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</si>
  <si>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</si>
  <si>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</si>
  <si>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</si>
  <si>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</si>
  <si>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</si>
  <si>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</si>
  <si>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</si>
  <si>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</si>
  <si>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</si>
  <si>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</si>
  <si>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</si>
  <si>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</si>
  <si>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</si>
  <si>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</si>
  <si>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</si>
  <si>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</si>
  <si>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</si>
  <si>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</si>
  <si>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</si>
  <si>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</si>
  <si>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</si>
  <si>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</si>
  <si>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</si>
  <si>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</si>
  <si>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</si>
  <si>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</si>
  <si>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</si>
  <si>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</si>
  <si>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</si>
  <si>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</si>
  <si>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</si>
  <si>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</si>
  <si>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</si>
  <si>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</si>
  <si>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</si>
  <si>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</si>
  <si>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</si>
  <si>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</si>
  <si>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</si>
  <si>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</si>
  <si>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</si>
  <si>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</si>
  <si>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</si>
  <si>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</si>
  <si>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</si>
  <si>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</si>
  <si>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</si>
  <si>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</si>
  <si>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</si>
  <si>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</si>
  <si>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</si>
  <si>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</si>
  <si>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</si>
  <si>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</si>
  <si>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</si>
  <si>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</si>
  <si>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</si>
  <si>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</si>
  <si>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</si>
  <si>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</si>
  <si>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</si>
  <si>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</si>
  <si>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</si>
  <si>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Caroline Street Pedestrian/Bicycle Infrastructure Improvements</t>
  </si>
  <si>
    <t>Non Freeway</t>
  </si>
  <si>
    <t>Caroline Street</t>
  </si>
  <si>
    <t>Hermann Drive</t>
  </si>
  <si>
    <t>Rosewood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</si>
</sst>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7" t="s">
        <v>0</v>
      </c>
      <c r="D3" s="7" t="s">
        <v>19</v>
      </c>
      <c r="E3" s="8" t="s">
        <v>9</v>
      </c>
      <c r="G3" s="14" t="s">
        <v>13</v>
      </c>
      <c r="H3" s="14"/>
      <c r="I3" s="14" t="s">
        <v>20</v>
      </c>
      <c r="J3" s="14" t="s">
        <v>49</v>
      </c>
    </row>
    <row r="4" spans="1:10" x14ac:dyDescent="0.3">
      <c r="A4" s="5" t="s">
        <v>5</v>
      </c>
      <c r="B4" s="6"/>
      <c r="D4" s="5" t="s">
        <v>46</v>
      </c>
      <c r="E4" s="47">
        <v>2015</v>
      </c>
      <c r="G4" s="12">
        <f>E4</f>
        <v>2015</v>
      </c>
      <c r="H4" s="12">
        <f>IF(G4&lt;2041,1,0)</f>
        <v>1</v>
      </c>
      <c r="I4" s="22">
        <f>IF($G4&lt;($G$4+$E$5),$E$17,0)*H4</f>
        <v>0</v>
      </c>
      <c r="J4" s="35" t="e">
        <f>I4*$B$18*$B$19/10^3</f>
        <v>#REF!</v>
      </c>
    </row>
    <row r="5" spans="1:10" x14ac:dyDescent="0.3">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3">
      <c r="A6" s="5" t="s">
        <v>7</v>
      </c>
      <c r="B6" s="6">
        <v>1</v>
      </c>
      <c r="D6" s="154" t="s">
        <v>34</v>
      </c>
      <c r="E6" s="155"/>
      <c r="G6" s="12">
        <f t="shared" si="0"/>
        <v>2017</v>
      </c>
      <c r="H6" s="12">
        <f t="shared" si="1"/>
        <v>1</v>
      </c>
      <c r="I6" s="22">
        <f t="shared" si="2"/>
        <v>0</v>
      </c>
      <c r="J6" s="35" t="e">
        <f t="shared" si="3"/>
        <v>#REF!</v>
      </c>
    </row>
    <row r="7" spans="1:10" x14ac:dyDescent="0.3">
      <c r="A7" s="5" t="s">
        <v>47</v>
      </c>
      <c r="B7" s="24"/>
      <c r="D7" s="5" t="s">
        <v>44</v>
      </c>
      <c r="E7" s="9"/>
      <c r="G7" s="13">
        <f t="shared" si="0"/>
        <v>2018</v>
      </c>
      <c r="H7" s="13">
        <f t="shared" si="1"/>
        <v>1</v>
      </c>
      <c r="I7" s="22">
        <f t="shared" si="2"/>
        <v>0</v>
      </c>
      <c r="J7" s="42" t="e">
        <f t="shared" si="3"/>
        <v>#REF!</v>
      </c>
    </row>
    <row r="8" spans="1:10" x14ac:dyDescent="0.3">
      <c r="A8" s="23" t="s">
        <v>48</v>
      </c>
      <c r="B8" s="24"/>
      <c r="D8" s="5" t="s">
        <v>42</v>
      </c>
      <c r="E8" s="46">
        <v>1.1499999999999999</v>
      </c>
      <c r="G8" s="12">
        <f t="shared" si="0"/>
        <v>2019</v>
      </c>
      <c r="H8" s="12">
        <f t="shared" si="1"/>
        <v>1</v>
      </c>
      <c r="I8" s="22">
        <f t="shared" si="2"/>
        <v>0</v>
      </c>
      <c r="J8" s="35" t="e">
        <f t="shared" si="3"/>
        <v>#REF!</v>
      </c>
    </row>
    <row r="9" spans="1:10" x14ac:dyDescent="0.3">
      <c r="G9" s="13">
        <f t="shared" si="0"/>
        <v>2020</v>
      </c>
      <c r="H9" s="13">
        <f t="shared" si="1"/>
        <v>1</v>
      </c>
      <c r="I9" s="22">
        <f t="shared" si="2"/>
        <v>0</v>
      </c>
      <c r="J9" s="42" t="e">
        <f t="shared" si="3"/>
        <v>#REF!</v>
      </c>
    </row>
    <row r="10" spans="1:10" x14ac:dyDescent="0.3">
      <c r="A10" s="11" t="s">
        <v>18</v>
      </c>
      <c r="G10" s="12">
        <f t="shared" si="0"/>
        <v>2021</v>
      </c>
      <c r="H10" s="12">
        <f t="shared" si="1"/>
        <v>1</v>
      </c>
      <c r="I10" s="22">
        <f t="shared" si="2"/>
        <v>0</v>
      </c>
      <c r="J10" s="35" t="e">
        <f t="shared" si="3"/>
        <v>#REF!</v>
      </c>
    </row>
    <row r="11" spans="1:10" x14ac:dyDescent="0.3">
      <c r="A11" s="10" t="s">
        <v>45</v>
      </c>
      <c r="B11" s="44" t="e">
        <f>NPV($B$17,J4:J29)/(1+$B$17)^(E4-B16+1)</f>
        <v>#REF!</v>
      </c>
      <c r="G11" s="13">
        <f t="shared" si="0"/>
        <v>2022</v>
      </c>
      <c r="H11" s="13">
        <f t="shared" si="1"/>
        <v>1</v>
      </c>
      <c r="I11" s="22">
        <f t="shared" si="2"/>
        <v>0</v>
      </c>
      <c r="J11" s="42" t="e">
        <f t="shared" si="3"/>
        <v>#REF!</v>
      </c>
    </row>
    <row r="12" spans="1:10" x14ac:dyDescent="0.3">
      <c r="A12" s="10" t="s">
        <v>17</v>
      </c>
      <c r="B12" s="41" t="e">
        <f>B11/B7</f>
        <v>#REF!</v>
      </c>
      <c r="G12" s="12">
        <f t="shared" si="0"/>
        <v>2023</v>
      </c>
      <c r="H12" s="12">
        <f t="shared" si="1"/>
        <v>1</v>
      </c>
      <c r="I12" s="22">
        <f t="shared" si="2"/>
        <v>0</v>
      </c>
      <c r="J12" s="35" t="e">
        <f t="shared" si="3"/>
        <v>#REF!</v>
      </c>
    </row>
    <row r="13" spans="1:10" x14ac:dyDescent="0.3">
      <c r="G13" s="13">
        <f t="shared" si="0"/>
        <v>2024</v>
      </c>
      <c r="H13" s="13">
        <f t="shared" si="1"/>
        <v>1</v>
      </c>
      <c r="I13" s="22">
        <f t="shared" si="2"/>
        <v>0</v>
      </c>
      <c r="J13" s="42" t="e">
        <f t="shared" si="3"/>
        <v>#REF!</v>
      </c>
    </row>
    <row r="14" spans="1:10" x14ac:dyDescent="0.3">
      <c r="G14" s="12">
        <f>G13+1</f>
        <v>2025</v>
      </c>
      <c r="H14" s="12">
        <f t="shared" si="1"/>
        <v>1</v>
      </c>
      <c r="I14" s="22">
        <f t="shared" si="2"/>
        <v>0</v>
      </c>
      <c r="J14" s="35" t="e">
        <f t="shared" si="3"/>
        <v>#REF!</v>
      </c>
    </row>
    <row r="15" spans="1:10" x14ac:dyDescent="0.3">
      <c r="A15" s="15" t="s">
        <v>1</v>
      </c>
      <c r="G15" s="13">
        <f t="shared" si="0"/>
        <v>2026</v>
      </c>
      <c r="H15" s="13">
        <f t="shared" si="1"/>
        <v>1</v>
      </c>
      <c r="I15" s="22">
        <f t="shared" si="2"/>
        <v>0</v>
      </c>
      <c r="J15" s="42" t="e">
        <f t="shared" si="3"/>
        <v>#REF!</v>
      </c>
    </row>
    <row r="16" spans="1:10" x14ac:dyDescent="0.3">
      <c r="A16" s="16" t="s">
        <v>2</v>
      </c>
      <c r="B16" s="27">
        <f>'Assumed Values'!C5</f>
        <v>2018</v>
      </c>
      <c r="D16" s="15" t="s">
        <v>15</v>
      </c>
      <c r="E16" s="25" t="s">
        <v>9</v>
      </c>
      <c r="G16" s="12">
        <f t="shared" si="0"/>
        <v>2027</v>
      </c>
      <c r="H16" s="12">
        <f t="shared" si="1"/>
        <v>1</v>
      </c>
      <c r="I16" s="22">
        <f t="shared" si="2"/>
        <v>0</v>
      </c>
      <c r="J16" s="35" t="e">
        <f t="shared" si="3"/>
        <v>#REF!</v>
      </c>
    </row>
    <row r="17" spans="1:10" x14ac:dyDescent="0.3">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3">
      <c r="A18" s="16" t="s">
        <v>4</v>
      </c>
      <c r="B18" s="16">
        <f>IF(B6=2,2.1, 1.1)</f>
        <v>1.1000000000000001</v>
      </c>
      <c r="G18" s="12">
        <f t="shared" si="0"/>
        <v>2029</v>
      </c>
      <c r="H18" s="12">
        <f t="shared" si="1"/>
        <v>1</v>
      </c>
      <c r="I18" s="22">
        <f t="shared" si="2"/>
        <v>0</v>
      </c>
      <c r="J18" s="35" t="e">
        <f t="shared" si="3"/>
        <v>#REF!</v>
      </c>
    </row>
    <row r="19" spans="1:10" x14ac:dyDescent="0.3">
      <c r="A19" s="16" t="s">
        <v>8</v>
      </c>
      <c r="B19" s="18" t="e">
        <f>'Assumed Values'!C15</f>
        <v>#REF!</v>
      </c>
      <c r="G19" s="13">
        <f t="shared" si="0"/>
        <v>2030</v>
      </c>
      <c r="H19" s="13">
        <f t="shared" si="1"/>
        <v>1</v>
      </c>
      <c r="I19" s="22">
        <f t="shared" si="2"/>
        <v>0</v>
      </c>
      <c r="J19" s="42" t="e">
        <f t="shared" si="3"/>
        <v>#REF!</v>
      </c>
    </row>
    <row r="20" spans="1:10" x14ac:dyDescent="0.3">
      <c r="A20" s="16" t="s">
        <v>16</v>
      </c>
      <c r="B20" s="16">
        <v>260</v>
      </c>
      <c r="G20" s="12">
        <f t="shared" si="0"/>
        <v>2031</v>
      </c>
      <c r="H20" s="12">
        <f t="shared" si="1"/>
        <v>1</v>
      </c>
      <c r="I20" s="22">
        <f t="shared" si="2"/>
        <v>0</v>
      </c>
      <c r="J20" s="35" t="e">
        <f t="shared" si="3"/>
        <v>#REF!</v>
      </c>
    </row>
    <row r="21" spans="1:10" x14ac:dyDescent="0.3">
      <c r="G21" s="13">
        <f t="shared" si="0"/>
        <v>2032</v>
      </c>
      <c r="H21" s="13">
        <f t="shared" si="1"/>
        <v>1</v>
      </c>
      <c r="I21" s="22">
        <f t="shared" si="2"/>
        <v>0</v>
      </c>
      <c r="J21" s="42" t="e">
        <f t="shared" si="3"/>
        <v>#REF!</v>
      </c>
    </row>
    <row r="22" spans="1:10" x14ac:dyDescent="0.3">
      <c r="G22" s="12">
        <f t="shared" si="0"/>
        <v>2033</v>
      </c>
      <c r="H22" s="12">
        <f t="shared" si="1"/>
        <v>1</v>
      </c>
      <c r="I22" s="22">
        <f t="shared" si="2"/>
        <v>0</v>
      </c>
      <c r="J22" s="35" t="e">
        <f t="shared" si="3"/>
        <v>#REF!</v>
      </c>
    </row>
    <row r="23" spans="1:10" x14ac:dyDescent="0.3">
      <c r="G23" s="13">
        <f t="shared" si="0"/>
        <v>2034</v>
      </c>
      <c r="H23" s="13">
        <f t="shared" si="1"/>
        <v>1</v>
      </c>
      <c r="I23" s="22">
        <f t="shared" si="2"/>
        <v>0</v>
      </c>
      <c r="J23" s="42" t="e">
        <f t="shared" si="3"/>
        <v>#REF!</v>
      </c>
    </row>
    <row r="24" spans="1:10" x14ac:dyDescent="0.3">
      <c r="G24" s="12">
        <f t="shared" si="0"/>
        <v>2035</v>
      </c>
      <c r="H24" s="12">
        <f t="shared" si="1"/>
        <v>1</v>
      </c>
      <c r="I24" s="22">
        <f t="shared" si="2"/>
        <v>0</v>
      </c>
      <c r="J24" s="35" t="e">
        <f t="shared" si="3"/>
        <v>#REF!</v>
      </c>
    </row>
    <row r="25" spans="1:10" x14ac:dyDescent="0.3">
      <c r="G25" s="13">
        <f t="shared" si="0"/>
        <v>2036</v>
      </c>
      <c r="H25" s="13">
        <f t="shared" si="1"/>
        <v>1</v>
      </c>
      <c r="I25" s="22">
        <f t="shared" si="2"/>
        <v>0</v>
      </c>
      <c r="J25" s="42" t="e">
        <f t="shared" ref="J25:J29" si="4">I25*$B$18*$B$19/10^3</f>
        <v>#REF!</v>
      </c>
    </row>
    <row r="26" spans="1:10" x14ac:dyDescent="0.3">
      <c r="G26" s="12">
        <f t="shared" si="0"/>
        <v>2037</v>
      </c>
      <c r="H26" s="12">
        <f t="shared" si="1"/>
        <v>1</v>
      </c>
      <c r="I26" s="22">
        <f t="shared" si="2"/>
        <v>0</v>
      </c>
      <c r="J26" s="35" t="e">
        <f t="shared" si="4"/>
        <v>#REF!</v>
      </c>
    </row>
    <row r="27" spans="1:10" x14ac:dyDescent="0.3">
      <c r="G27" s="13">
        <f t="shared" si="0"/>
        <v>2038</v>
      </c>
      <c r="H27" s="13">
        <f t="shared" si="1"/>
        <v>1</v>
      </c>
      <c r="I27" s="22">
        <f t="shared" si="2"/>
        <v>0</v>
      </c>
      <c r="J27" s="42" t="e">
        <f t="shared" si="4"/>
        <v>#REF!</v>
      </c>
    </row>
    <row r="28" spans="1:10" x14ac:dyDescent="0.3">
      <c r="G28" s="12">
        <f t="shared" si="0"/>
        <v>2039</v>
      </c>
      <c r="H28" s="12">
        <f t="shared" si="1"/>
        <v>1</v>
      </c>
      <c r="I28" s="22">
        <f t="shared" si="2"/>
        <v>0</v>
      </c>
      <c r="J28" s="35" t="e">
        <f t="shared" si="4"/>
        <v>#REF!</v>
      </c>
    </row>
    <row r="29" spans="1:10" x14ac:dyDescent="0.3">
      <c r="A29" s="26"/>
      <c r="G29" s="13">
        <f t="shared" si="0"/>
        <v>2040</v>
      </c>
      <c r="H29" s="13">
        <f t="shared" si="1"/>
        <v>1</v>
      </c>
      <c r="I29" s="22">
        <f t="shared" si="2"/>
        <v>0</v>
      </c>
      <c r="J29" s="42" t="e">
        <f t="shared" si="4"/>
        <v>#REF!</v>
      </c>
    </row>
    <row r="51" spans="1:1" x14ac:dyDescent="0.3">
      <c r="A51" t="s">
        <v>10</v>
      </c>
    </row>
    <row r="52" spans="1:1" x14ac:dyDescent="0.3">
      <c r="A52" s="4" t="s">
        <v>12</v>
      </c>
    </row>
    <row r="53" spans="1:1" x14ac:dyDescent="0.3">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7" t="s">
        <v>0</v>
      </c>
      <c r="D3" s="7" t="s">
        <v>32</v>
      </c>
      <c r="E3" s="8" t="s">
        <v>9</v>
      </c>
      <c r="G3" s="14" t="s">
        <v>13</v>
      </c>
      <c r="H3" s="14" t="s">
        <v>41</v>
      </c>
      <c r="I3" s="14" t="s">
        <v>50</v>
      </c>
      <c r="J3" s="14" t="s">
        <v>40</v>
      </c>
      <c r="K3" s="14" t="s">
        <v>51</v>
      </c>
    </row>
    <row r="4" spans="1:11" x14ac:dyDescent="0.3">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3">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3">
      <c r="A6" s="5" t="s">
        <v>37</v>
      </c>
      <c r="B6" s="6">
        <v>2</v>
      </c>
      <c r="D6" s="154" t="s">
        <v>34</v>
      </c>
      <c r="E6" s="155"/>
      <c r="G6" s="12">
        <f t="shared" si="2"/>
        <v>2017</v>
      </c>
      <c r="H6" s="38">
        <f t="shared" si="0"/>
        <v>0</v>
      </c>
      <c r="I6" s="37" t="e">
        <f t="shared" si="3"/>
        <v>#REF!</v>
      </c>
      <c r="J6" s="38">
        <f t="shared" si="1"/>
        <v>0</v>
      </c>
      <c r="K6" s="37" t="e">
        <f t="shared" si="4"/>
        <v>#REF!</v>
      </c>
    </row>
    <row r="7" spans="1:11" x14ac:dyDescent="0.3">
      <c r="A7" s="5" t="s">
        <v>47</v>
      </c>
      <c r="B7" s="24"/>
      <c r="D7" s="5" t="s">
        <v>33</v>
      </c>
      <c r="E7" s="9"/>
      <c r="G7" s="13">
        <f t="shared" si="2"/>
        <v>2018</v>
      </c>
      <c r="H7" s="38">
        <f t="shared" si="0"/>
        <v>0</v>
      </c>
      <c r="I7" s="39" t="e">
        <f t="shared" si="3"/>
        <v>#REF!</v>
      </c>
      <c r="J7" s="38">
        <f t="shared" si="1"/>
        <v>0</v>
      </c>
      <c r="K7" s="39" t="e">
        <f t="shared" si="4"/>
        <v>#REF!</v>
      </c>
    </row>
    <row r="8" spans="1:11" x14ac:dyDescent="0.3">
      <c r="A8" s="23" t="s">
        <v>48</v>
      </c>
      <c r="B8" s="24"/>
      <c r="D8" s="154" t="s">
        <v>35</v>
      </c>
      <c r="E8" s="155"/>
      <c r="G8" s="12">
        <f t="shared" si="2"/>
        <v>2019</v>
      </c>
      <c r="H8" s="38">
        <f t="shared" si="0"/>
        <v>0</v>
      </c>
      <c r="I8" s="37" t="e">
        <f t="shared" si="3"/>
        <v>#REF!</v>
      </c>
      <c r="J8" s="38">
        <f t="shared" si="1"/>
        <v>0</v>
      </c>
      <c r="K8" s="37" t="e">
        <f t="shared" si="4"/>
        <v>#REF!</v>
      </c>
    </row>
    <row r="9" spans="1:11" x14ac:dyDescent="0.3">
      <c r="D9" s="5" t="s">
        <v>38</v>
      </c>
      <c r="E9" s="9"/>
      <c r="G9" s="13">
        <f t="shared" si="2"/>
        <v>2020</v>
      </c>
      <c r="H9" s="38">
        <f t="shared" si="0"/>
        <v>0</v>
      </c>
      <c r="I9" s="39" t="e">
        <f t="shared" si="3"/>
        <v>#REF!</v>
      </c>
      <c r="J9" s="38">
        <f t="shared" si="1"/>
        <v>0</v>
      </c>
      <c r="K9" s="39" t="e">
        <f t="shared" si="4"/>
        <v>#REF!</v>
      </c>
    </row>
    <row r="10" spans="1:11" x14ac:dyDescent="0.3">
      <c r="A10" s="11" t="s">
        <v>18</v>
      </c>
      <c r="D10" s="5" t="s">
        <v>39</v>
      </c>
      <c r="E10" s="9"/>
      <c r="G10" s="12">
        <f t="shared" si="2"/>
        <v>2021</v>
      </c>
      <c r="H10" s="38">
        <f t="shared" si="0"/>
        <v>0</v>
      </c>
      <c r="I10" s="37" t="e">
        <f t="shared" si="3"/>
        <v>#REF!</v>
      </c>
      <c r="J10" s="38">
        <f t="shared" si="1"/>
        <v>0</v>
      </c>
      <c r="K10" s="37" t="e">
        <f t="shared" si="4"/>
        <v>#REF!</v>
      </c>
    </row>
    <row r="11" spans="1:11" x14ac:dyDescent="0.3">
      <c r="A11" s="10" t="s">
        <v>52</v>
      </c>
      <c r="B11" s="40" t="e">
        <f>(NPV($B$17,K4:K24)+NPV($B$17,I4:I24))/(1+$B$17)^2</f>
        <v>#REF!</v>
      </c>
      <c r="G11" s="13">
        <f t="shared" si="2"/>
        <v>2022</v>
      </c>
      <c r="H11" s="38">
        <f t="shared" si="0"/>
        <v>0</v>
      </c>
      <c r="I11" s="39" t="e">
        <f t="shared" si="3"/>
        <v>#REF!</v>
      </c>
      <c r="J11" s="38">
        <f t="shared" si="1"/>
        <v>0</v>
      </c>
      <c r="K11" s="39" t="e">
        <f t="shared" si="4"/>
        <v>#REF!</v>
      </c>
    </row>
    <row r="12" spans="1:11" x14ac:dyDescent="0.3">
      <c r="A12" s="10" t="s">
        <v>17</v>
      </c>
      <c r="B12" s="41" t="e">
        <f>B11/B7</f>
        <v>#REF!</v>
      </c>
      <c r="G12" s="12">
        <f t="shared" si="2"/>
        <v>2023</v>
      </c>
      <c r="H12" s="38">
        <f t="shared" si="0"/>
        <v>0</v>
      </c>
      <c r="I12" s="37" t="e">
        <f t="shared" si="3"/>
        <v>#REF!</v>
      </c>
      <c r="J12" s="38">
        <f t="shared" si="1"/>
        <v>0</v>
      </c>
      <c r="K12" s="37" t="e">
        <f t="shared" si="4"/>
        <v>#REF!</v>
      </c>
    </row>
    <row r="13" spans="1:11" x14ac:dyDescent="0.3">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3">
      <c r="G14" s="12">
        <f>G13+1</f>
        <v>2025</v>
      </c>
      <c r="H14" s="38">
        <f t="shared" si="0"/>
        <v>0</v>
      </c>
      <c r="I14" s="37" t="e">
        <f t="shared" si="3"/>
        <v>#REF!</v>
      </c>
      <c r="J14" s="38">
        <f t="shared" si="1"/>
        <v>0</v>
      </c>
      <c r="K14" s="37" t="e">
        <f t="shared" si="4"/>
        <v>#REF!</v>
      </c>
    </row>
    <row r="15" spans="1:11" x14ac:dyDescent="0.3">
      <c r="A15" s="15" t="s">
        <v>1</v>
      </c>
      <c r="G15" s="13">
        <f t="shared" si="2"/>
        <v>2026</v>
      </c>
      <c r="H15" s="38">
        <f t="shared" si="0"/>
        <v>0</v>
      </c>
      <c r="I15" s="39" t="e">
        <f t="shared" si="3"/>
        <v>#REF!</v>
      </c>
      <c r="J15" s="38">
        <f t="shared" si="1"/>
        <v>0</v>
      </c>
      <c r="K15" s="39" t="e">
        <f t="shared" si="4"/>
        <v>#REF!</v>
      </c>
    </row>
    <row r="16" spans="1:11" x14ac:dyDescent="0.3">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3">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3">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3">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3">
      <c r="A20" s="16" t="s">
        <v>54</v>
      </c>
      <c r="B20" s="36" t="e">
        <f>'Assumed Values'!C19</f>
        <v>#REF!</v>
      </c>
      <c r="G20" s="12">
        <f t="shared" si="2"/>
        <v>2031</v>
      </c>
      <c r="H20" s="38">
        <f t="shared" si="0"/>
        <v>0</v>
      </c>
      <c r="I20" s="37" t="e">
        <f t="shared" si="3"/>
        <v>#REF!</v>
      </c>
      <c r="J20" s="38">
        <f t="shared" si="1"/>
        <v>0</v>
      </c>
      <c r="K20" s="37" t="e">
        <f t="shared" si="4"/>
        <v>#REF!</v>
      </c>
    </row>
    <row r="21" spans="1:11" x14ac:dyDescent="0.3">
      <c r="A21" s="16" t="s">
        <v>55</v>
      </c>
      <c r="B21" s="36" t="e">
        <f>'Assumed Values'!C20</f>
        <v>#REF!</v>
      </c>
      <c r="G21" s="13">
        <f t="shared" si="2"/>
        <v>2032</v>
      </c>
      <c r="H21" s="38">
        <f t="shared" si="0"/>
        <v>0</v>
      </c>
      <c r="I21" s="39" t="e">
        <f t="shared" si="3"/>
        <v>#REF!</v>
      </c>
      <c r="J21" s="38">
        <f t="shared" si="1"/>
        <v>0</v>
      </c>
      <c r="K21" s="39" t="e">
        <f t="shared" si="4"/>
        <v>#REF!</v>
      </c>
    </row>
    <row r="22" spans="1:11" x14ac:dyDescent="0.3">
      <c r="A22" s="16" t="s">
        <v>16</v>
      </c>
      <c r="B22" s="16">
        <v>260</v>
      </c>
      <c r="G22" s="12">
        <f t="shared" si="2"/>
        <v>2033</v>
      </c>
      <c r="H22" s="38">
        <f t="shared" si="0"/>
        <v>0</v>
      </c>
      <c r="I22" s="37" t="e">
        <f t="shared" si="3"/>
        <v>#REF!</v>
      </c>
      <c r="J22" s="38">
        <f t="shared" si="1"/>
        <v>0</v>
      </c>
      <c r="K22" s="37" t="e">
        <f t="shared" si="4"/>
        <v>#REF!</v>
      </c>
    </row>
    <row r="23" spans="1:11" x14ac:dyDescent="0.3">
      <c r="G23" s="13">
        <f t="shared" si="2"/>
        <v>2034</v>
      </c>
      <c r="H23" s="38">
        <f t="shared" si="0"/>
        <v>0</v>
      </c>
      <c r="I23" s="39" t="e">
        <f t="shared" si="3"/>
        <v>#REF!</v>
      </c>
      <c r="J23" s="38">
        <f t="shared" si="1"/>
        <v>0</v>
      </c>
      <c r="K23" s="39" t="e">
        <f t="shared" si="4"/>
        <v>#REF!</v>
      </c>
    </row>
    <row r="24" spans="1:11" x14ac:dyDescent="0.3">
      <c r="G24" s="12">
        <f t="shared" si="2"/>
        <v>2035</v>
      </c>
      <c r="H24" s="38">
        <f t="shared" si="0"/>
        <v>0</v>
      </c>
      <c r="I24" s="37" t="e">
        <f t="shared" si="3"/>
        <v>#REF!</v>
      </c>
      <c r="J24" s="38">
        <f t="shared" si="1"/>
        <v>0</v>
      </c>
      <c r="K24" s="37" t="e">
        <f t="shared" si="4"/>
        <v>#REF!</v>
      </c>
    </row>
    <row r="25" spans="1:11" x14ac:dyDescent="0.3">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3">
      <c r="G26" s="12">
        <f t="shared" si="2"/>
        <v>2037</v>
      </c>
      <c r="H26" s="38">
        <f t="shared" si="5"/>
        <v>0</v>
      </c>
      <c r="I26" s="37" t="e">
        <f t="shared" si="6"/>
        <v>#REF!</v>
      </c>
      <c r="J26" s="38">
        <f t="shared" si="7"/>
        <v>0</v>
      </c>
      <c r="K26" s="37" t="e">
        <f t="shared" si="8"/>
        <v>#REF!</v>
      </c>
    </row>
    <row r="27" spans="1:11" x14ac:dyDescent="0.3">
      <c r="G27" s="13">
        <f t="shared" si="2"/>
        <v>2038</v>
      </c>
      <c r="H27" s="38">
        <f t="shared" si="5"/>
        <v>0</v>
      </c>
      <c r="I27" s="39" t="e">
        <f t="shared" si="6"/>
        <v>#REF!</v>
      </c>
      <c r="J27" s="38">
        <f t="shared" si="7"/>
        <v>0</v>
      </c>
      <c r="K27" s="39" t="e">
        <f t="shared" si="8"/>
        <v>#REF!</v>
      </c>
    </row>
    <row r="28" spans="1:11" x14ac:dyDescent="0.3">
      <c r="G28" s="12">
        <f t="shared" si="2"/>
        <v>2039</v>
      </c>
      <c r="H28" s="38">
        <f t="shared" si="5"/>
        <v>0</v>
      </c>
      <c r="I28" s="37" t="e">
        <f t="shared" si="6"/>
        <v>#REF!</v>
      </c>
      <c r="J28" s="38">
        <f t="shared" si="7"/>
        <v>0</v>
      </c>
      <c r="K28" s="37" t="e">
        <f t="shared" si="8"/>
        <v>#REF!</v>
      </c>
    </row>
    <row r="29" spans="1:11" x14ac:dyDescent="0.3">
      <c r="G29" s="13">
        <f t="shared" si="2"/>
        <v>2040</v>
      </c>
      <c r="H29" s="38">
        <f>IF($G29&lt;($G$4+$E$5),$E$17,0)</f>
        <v>0</v>
      </c>
      <c r="I29" s="39" t="e">
        <f t="shared" si="6"/>
        <v>#REF!</v>
      </c>
      <c r="J29" s="38">
        <f>IF($G29&lt;($G$4+$E$5),$E$18,0)</f>
        <v>0</v>
      </c>
      <c r="K29" s="39" t="e">
        <f t="shared" si="8"/>
        <v>#REF!</v>
      </c>
    </row>
    <row r="31" spans="1:11" x14ac:dyDescent="0.3">
      <c r="A31" s="26"/>
    </row>
    <row r="53" spans="1:1" x14ac:dyDescent="0.3">
      <c r="A53" t="s">
        <v>10</v>
      </c>
    </row>
    <row r="54" spans="1:1" x14ac:dyDescent="0.3">
      <c r="A54" s="4" t="s">
        <v>12</v>
      </c>
    </row>
    <row r="55" spans="1:1" x14ac:dyDescent="0.3">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A28" zoomScale="115" zoomScaleNormal="115" workbookViewId="0">
      <selection activeCell="D22" sqref="D22"/>
    </sheetView>
  </sheetViews>
  <sheetFormatPr defaultColWidth="9.109375" defaultRowHeight="14.4" x14ac:dyDescent="0.3"/>
  <cols>
    <col min="1" max="1" width="9.109375" style="136"/>
    <col min="2" max="2" width="45.109375" style="136" bestFit="1" customWidth="1"/>
    <col min="3" max="3" width="13.44140625" style="136" customWidth="1"/>
    <col min="4" max="4" width="4.88671875" style="136" customWidth="1"/>
    <col min="5" max="5" width="5.88671875" style="136" customWidth="1"/>
    <col min="6" max="6" width="53.5546875" style="136" customWidth="1"/>
    <col min="7" max="9" width="9.109375" style="136"/>
    <col min="10" max="10" width="13" style="137" customWidth="1"/>
    <col min="11" max="11" width="13.33203125" style="136" bestFit="1" customWidth="1"/>
    <col min="12" max="15" width="9.109375" style="136"/>
    <col min="16" max="16" width="9.33203125" style="136" customWidth="1"/>
    <col min="17" max="16384" width="9.109375" style="136"/>
  </cols>
  <sheetData>
    <row r="3" spans="2:6" ht="18" x14ac:dyDescent="0.35">
      <c r="B3" s="134" t="s">
        <v>87</v>
      </c>
      <c r="C3" s="135"/>
      <c r="D3" s="135"/>
      <c r="E3" s="135"/>
      <c r="F3" s="135"/>
    </row>
    <row r="5" spans="2:6" x14ac:dyDescent="0.3">
      <c r="B5" s="138" t="s">
        <v>0</v>
      </c>
    </row>
    <row r="6" spans="2:6" ht="72" x14ac:dyDescent="0.3">
      <c r="B6" s="139" t="s">
        <v>155</v>
      </c>
      <c r="C6" s="104" t="s">
        <v>203</v>
      </c>
    </row>
    <row r="7" spans="2:6" x14ac:dyDescent="0.3">
      <c r="B7" s="6" t="s">
        <v>115</v>
      </c>
      <c r="C7" s="6" t="s">
        <v>116</v>
      </c>
      <c r="E7" s="6"/>
      <c r="F7" s="136" t="s">
        <v>168</v>
      </c>
    </row>
    <row r="8" spans="2:6" x14ac:dyDescent="0.3">
      <c r="B8" s="6" t="s">
        <v>124</v>
      </c>
      <c r="C8" s="6" t="s">
        <v>204</v>
      </c>
      <c r="E8" s="140"/>
      <c r="F8" s="136" t="s">
        <v>164</v>
      </c>
    </row>
    <row r="9" spans="2:6" x14ac:dyDescent="0.3">
      <c r="B9" s="6" t="s">
        <v>156</v>
      </c>
      <c r="C9" s="6" t="s">
        <v>205</v>
      </c>
      <c r="E9" s="141"/>
      <c r="F9" s="136" t="s">
        <v>187</v>
      </c>
    </row>
    <row r="10" spans="2:6" x14ac:dyDescent="0.3">
      <c r="B10" s="6" t="s">
        <v>113</v>
      </c>
      <c r="C10" s="6" t="s">
        <v>206</v>
      </c>
      <c r="E10" s="142"/>
      <c r="F10" s="136" t="s">
        <v>169</v>
      </c>
    </row>
    <row r="11" spans="2:6" x14ac:dyDescent="0.3">
      <c r="B11" s="6" t="s">
        <v>114</v>
      </c>
      <c r="C11" s="6" t="s">
        <v>207</v>
      </c>
    </row>
    <row r="12" spans="2:6" x14ac:dyDescent="0.3">
      <c r="B12" s="6" t="s">
        <v>77</v>
      </c>
      <c r="C12" s="6">
        <v>192</v>
      </c>
    </row>
    <row r="13" spans="2:6" x14ac:dyDescent="0.3">
      <c r="B13" s="6" t="s">
        <v>78</v>
      </c>
      <c r="C13" s="6"/>
    </row>
    <row r="14" spans="2:6" x14ac:dyDescent="0.3">
      <c r="B14" s="78"/>
      <c r="C14" s="78"/>
    </row>
    <row r="15" spans="2:6" x14ac:dyDescent="0.3">
      <c r="B15" s="138" t="s">
        <v>159</v>
      </c>
    </row>
    <row r="16" spans="2:6" x14ac:dyDescent="0.3">
      <c r="B16" s="6" t="s">
        <v>102</v>
      </c>
      <c r="C16" s="47">
        <v>2025</v>
      </c>
    </row>
    <row r="17" spans="2:11" ht="28.8" x14ac:dyDescent="0.3">
      <c r="B17" s="6" t="s">
        <v>173</v>
      </c>
      <c r="C17" s="130" t="s">
        <v>184</v>
      </c>
    </row>
    <row r="18" spans="2:11" x14ac:dyDescent="0.3">
      <c r="B18" s="141" t="s">
        <v>101</v>
      </c>
      <c r="C18" s="131">
        <f>VLOOKUP(C17,'Service Life'!C5:D15,2,FALSE)</f>
        <v>10</v>
      </c>
    </row>
    <row r="19" spans="2:11" x14ac:dyDescent="0.3">
      <c r="E19" s="143"/>
      <c r="F19" s="83"/>
    </row>
    <row r="20" spans="2:11" x14ac:dyDescent="0.3">
      <c r="B20" s="78"/>
      <c r="C20" s="102"/>
      <c r="E20" s="143"/>
      <c r="F20" s="83"/>
    </row>
    <row r="21" spans="2:11" x14ac:dyDescent="0.3">
      <c r="B21" s="144" t="s">
        <v>79</v>
      </c>
      <c r="C21" s="102"/>
      <c r="E21" s="143"/>
      <c r="F21" s="83"/>
    </row>
    <row r="22" spans="2:11" ht="28.8" x14ac:dyDescent="0.3">
      <c r="B22" s="130" t="s">
        <v>202</v>
      </c>
      <c r="C22" s="130">
        <v>15</v>
      </c>
      <c r="E22" s="143"/>
      <c r="F22" s="83"/>
    </row>
    <row r="23" spans="2:11" x14ac:dyDescent="0.3">
      <c r="B23" s="6" t="s">
        <v>172</v>
      </c>
      <c r="C23" s="6">
        <v>0.5</v>
      </c>
      <c r="E23" s="143"/>
      <c r="F23" s="83"/>
    </row>
    <row r="24" spans="2:11" x14ac:dyDescent="0.3">
      <c r="E24" s="143"/>
      <c r="F24" s="83"/>
    </row>
    <row r="25" spans="2:11" x14ac:dyDescent="0.3">
      <c r="I25" s="145"/>
      <c r="J25" s="146"/>
      <c r="K25" s="147"/>
    </row>
    <row r="26" spans="2:11" x14ac:dyDescent="0.3">
      <c r="B26" s="148" t="s">
        <v>195</v>
      </c>
      <c r="C26" s="133">
        <v>1892</v>
      </c>
      <c r="I26" s="145"/>
      <c r="J26" s="146"/>
      <c r="K26" s="147"/>
    </row>
    <row r="27" spans="2:11" x14ac:dyDescent="0.3">
      <c r="B27" s="148" t="s">
        <v>196</v>
      </c>
      <c r="C27" s="133">
        <v>11676</v>
      </c>
      <c r="I27" s="145"/>
      <c r="J27" s="146"/>
      <c r="K27" s="147"/>
    </row>
    <row r="28" spans="2:11" x14ac:dyDescent="0.3">
      <c r="B28" s="148" t="s">
        <v>200</v>
      </c>
      <c r="C28" s="133">
        <v>4512</v>
      </c>
      <c r="I28" s="145"/>
      <c r="J28" s="146"/>
      <c r="K28" s="147"/>
    </row>
    <row r="29" spans="2:11" x14ac:dyDescent="0.3">
      <c r="B29" s="148" t="s">
        <v>197</v>
      </c>
      <c r="C29" s="133">
        <v>11676</v>
      </c>
      <c r="I29" s="145"/>
      <c r="J29" s="146"/>
      <c r="K29" s="147"/>
    </row>
    <row r="30" spans="2:11" x14ac:dyDescent="0.3">
      <c r="B30" s="148" t="s">
        <v>201</v>
      </c>
      <c r="C30" s="133">
        <v>10307</v>
      </c>
      <c r="F30" s="149"/>
      <c r="H30" s="149"/>
      <c r="J30" s="146"/>
      <c r="K30" s="147"/>
    </row>
    <row r="31" spans="2:11" x14ac:dyDescent="0.3">
      <c r="B31" s="148" t="s">
        <v>198</v>
      </c>
      <c r="C31" s="133">
        <v>11676</v>
      </c>
      <c r="K31" s="147"/>
    </row>
    <row r="33" spans="2:9" ht="18" x14ac:dyDescent="0.35">
      <c r="B33" s="134" t="s">
        <v>88</v>
      </c>
      <c r="C33" s="135"/>
      <c r="D33" s="135"/>
      <c r="E33" s="135"/>
      <c r="F33" s="135"/>
      <c r="I33" s="149"/>
    </row>
    <row r="35" spans="2:9" x14ac:dyDescent="0.3">
      <c r="B35" s="150" t="s">
        <v>86</v>
      </c>
    </row>
    <row r="36" spans="2:9" x14ac:dyDescent="0.3">
      <c r="B36" s="142" t="s">
        <v>112</v>
      </c>
      <c r="C36" s="153">
        <f>Calculations!T37</f>
        <v>8.2963154215659038</v>
      </c>
      <c r="D36" s="151"/>
    </row>
    <row r="55" spans="2:2" x14ac:dyDescent="0.3">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4.4" x14ac:dyDescent="0.3"/>
  <cols>
    <col min="1" max="1" width="42.33203125" customWidth="1"/>
    <col min="2" max="2" width="12.5546875" customWidth="1"/>
    <col min="3" max="3" width="5.33203125" customWidth="1"/>
    <col min="4" max="4" width="49.33203125" bestFit="1" customWidth="1"/>
    <col min="5" max="5" width="15.44140625" bestFit="1" customWidth="1"/>
    <col min="6" max="10" width="15.44140625" customWidth="1"/>
    <col min="11" max="11" width="6.33203125" customWidth="1"/>
    <col min="12" max="12" width="5.109375" customWidth="1"/>
    <col min="13" max="13" width="9.33203125" bestFit="1" customWidth="1"/>
    <col min="14" max="14" width="16.6640625" style="1" customWidth="1"/>
    <col min="15" max="15" width="16.88671875" style="56" bestFit="1" customWidth="1"/>
    <col min="16" max="16" width="11.44140625" style="59" bestFit="1" customWidth="1"/>
    <col min="17" max="17" width="25.5546875" customWidth="1"/>
    <col min="18" max="18" width="18.6640625" customWidth="1"/>
    <col min="19" max="19" width="28.6640625" customWidth="1"/>
    <col min="20" max="20" width="18.88671875" customWidth="1"/>
  </cols>
  <sheetData>
    <row r="3" spans="1:20" ht="28.8" x14ac:dyDescent="0.3">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3">
      <c r="A4" s="16" t="s">
        <v>2</v>
      </c>
      <c r="B4" s="27">
        <v>2018</v>
      </c>
      <c r="D4" s="101" t="s">
        <v>160</v>
      </c>
      <c r="E4" s="100">
        <f>'Inputs &amp; Outputs'!C22/$B$6</f>
        <v>10.791366906474821</v>
      </c>
      <c r="G4" s="157" t="s">
        <v>170</v>
      </c>
      <c r="H4" s="157"/>
      <c r="I4" s="157"/>
      <c r="J4" s="116">
        <f>SUMPRODUCT(Possible_Crash_Reductions,'Value of Statistical Life'!E5:E11)</f>
        <v>1495.6618924711829</v>
      </c>
      <c r="M4" s="60">
        <v>2018</v>
      </c>
      <c r="N4" s="61" t="s">
        <v>85</v>
      </c>
      <c r="O4" s="62">
        <f>MIN(B13,1)</f>
        <v>0.16204179513532033</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3">
      <c r="A5" s="16" t="s">
        <v>56</v>
      </c>
      <c r="B5" s="16">
        <f>Service_Life</f>
        <v>10</v>
      </c>
      <c r="D5" s="101" t="s">
        <v>161</v>
      </c>
      <c r="E5" s="100">
        <f>($E$4*'Inputs &amp; Outputs'!$C$23)*2</f>
        <v>10.791366906474821</v>
      </c>
      <c r="M5" s="13">
        <f t="shared" ref="M5:M36" si="1">M4+1</f>
        <v>2019</v>
      </c>
      <c r="N5" s="53">
        <f t="shared" ref="N5:N11" si="2">IF(ISERROR(_2025_2045_Demand_Growth),_2018_2045_Demand_Growth,_2018_2025_Demand_Growth)</f>
        <v>0.13219475068382747</v>
      </c>
      <c r="O5" s="55">
        <f t="shared" ref="O5:O11" si="3">O4*(1+IFERROR(_2018_2025_V_C_Growth,_2018_2045_V_C_Growth))</f>
        <v>0.18346286984359383</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3">
      <c r="A6" s="16" t="s">
        <v>4</v>
      </c>
      <c r="B6" s="16">
        <v>1.39</v>
      </c>
      <c r="D6" s="101" t="s">
        <v>162</v>
      </c>
      <c r="E6" s="100">
        <f>$E$5*$B$7</f>
        <v>2805.7553956834536</v>
      </c>
      <c r="M6" s="60">
        <f t="shared" si="1"/>
        <v>2020</v>
      </c>
      <c r="N6" s="53">
        <f t="shared" si="2"/>
        <v>0.13219475068382747</v>
      </c>
      <c r="O6" s="55">
        <f t="shared" si="3"/>
        <v>0.2077156981823072</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3">
      <c r="A7" s="16" t="s">
        <v>174</v>
      </c>
      <c r="B7" s="16">
        <v>260</v>
      </c>
      <c r="M7" s="13">
        <f t="shared" si="1"/>
        <v>2021</v>
      </c>
      <c r="N7" s="53">
        <f t="shared" si="2"/>
        <v>0.13219475068382747</v>
      </c>
      <c r="O7" s="55">
        <f t="shared" si="3"/>
        <v>0.23517462311663445</v>
      </c>
      <c r="P7" s="58">
        <f t="shared" si="4"/>
        <v>1</v>
      </c>
      <c r="Q7" s="119">
        <f>IF(M7=Year_Open_to_Traffic?,Calculations!$J$4,Calculations!Q6+Calculations!Q6*Calculations!N7*P7)</f>
        <v>0</v>
      </c>
      <c r="R7" s="66">
        <f t="shared" si="0"/>
        <v>0</v>
      </c>
      <c r="S7" s="119">
        <f t="shared" si="5"/>
        <v>0</v>
      </c>
      <c r="T7" s="40">
        <f>S7/(1+'Assumed Values'!$C$6)^(Calculations!M7-'Assumed Values'!$C$5)</f>
        <v>0</v>
      </c>
    </row>
    <row r="8" spans="1:20" x14ac:dyDescent="0.3">
      <c r="M8" s="60">
        <f t="shared" si="1"/>
        <v>2022</v>
      </c>
      <c r="N8" s="53">
        <f t="shared" si="2"/>
        <v>0.13219475068382747</v>
      </c>
      <c r="O8" s="55">
        <f t="shared" si="3"/>
        <v>0.26626347378670101</v>
      </c>
      <c r="P8" s="58">
        <f t="shared" si="4"/>
        <v>1</v>
      </c>
      <c r="Q8" s="119">
        <f>IF(M8=Year_Open_to_Traffic?,Calculations!$J$4,Calculations!Q7+Calculations!Q7*Calculations!N8*P8)</f>
        <v>0</v>
      </c>
      <c r="R8" s="66">
        <f t="shared" si="0"/>
        <v>0</v>
      </c>
      <c r="S8" s="119">
        <f t="shared" si="5"/>
        <v>0</v>
      </c>
      <c r="T8" s="40">
        <f>S8/(1+'Assumed Values'!$C$6)^(Calculations!M8-'Assumed Values'!$C$5)</f>
        <v>0</v>
      </c>
    </row>
    <row r="9" spans="1:20" x14ac:dyDescent="0.3">
      <c r="A9" s="105" t="s">
        <v>15</v>
      </c>
      <c r="B9" s="90"/>
      <c r="D9" s="108" t="s">
        <v>139</v>
      </c>
      <c r="E9" s="82"/>
      <c r="F9" s="87"/>
      <c r="M9" s="13">
        <f t="shared" si="1"/>
        <v>2023</v>
      </c>
      <c r="N9" s="53">
        <f t="shared" si="2"/>
        <v>0.13219475068382747</v>
      </c>
      <c r="O9" s="55">
        <f t="shared" si="3"/>
        <v>0.30146210732014378</v>
      </c>
      <c r="P9" s="58">
        <f t="shared" si="4"/>
        <v>1</v>
      </c>
      <c r="Q9" s="119">
        <f>IF(M9=Year_Open_to_Traffic?,Calculations!$J$4,Calculations!Q8+Calculations!Q8*Calculations!N9*P9)</f>
        <v>0</v>
      </c>
      <c r="R9" s="66">
        <f t="shared" si="0"/>
        <v>0</v>
      </c>
      <c r="S9" s="119">
        <f t="shared" si="5"/>
        <v>0</v>
      </c>
      <c r="T9" s="40">
        <f>S9/(1+'Assumed Values'!$C$6)^(Calculations!M9-'Assumed Values'!$C$5)</f>
        <v>0</v>
      </c>
    </row>
    <row r="10" spans="1:20" x14ac:dyDescent="0.3">
      <c r="A10" s="16" t="s">
        <v>76</v>
      </c>
      <c r="B10" s="43">
        <f>(_2025_Volume/'Inputs &amp; Outputs'!C26)^(1/(2025-2018))-1</f>
        <v>0.13219475068382747</v>
      </c>
      <c r="D10" s="64" t="s">
        <v>133</v>
      </c>
      <c r="E10" s="100">
        <f>IF('Inputs &amp; Outputs'!$C$8='CRASH RATES'!$D$3, VLOOKUP('Inputs &amp; Outputs'!$C$7,'CRASH RATES'!$C$14:$J$21,3,FALSE), VLOOKUP('Inputs &amp; Outputs'!$C$7,'CRASH RATES'!$C$28:$J$35,3,FALSE))</f>
        <v>1.7455741549787349</v>
      </c>
      <c r="F10" s="83"/>
      <c r="M10" s="60">
        <f t="shared" si="1"/>
        <v>2024</v>
      </c>
      <c r="N10" s="53">
        <f t="shared" si="2"/>
        <v>0.13219475068382747</v>
      </c>
      <c r="O10" s="55">
        <f t="shared" si="3"/>
        <v>0.34131381543795142</v>
      </c>
      <c r="P10" s="58">
        <f t="shared" si="4"/>
        <v>1</v>
      </c>
      <c r="Q10" s="119">
        <f>IF(M10=Year_Open_to_Traffic?,Calculations!$J$4,Calculations!Q9+Calculations!Q9*Calculations!N10*P10)</f>
        <v>0</v>
      </c>
      <c r="R10" s="66">
        <f t="shared" si="0"/>
        <v>0</v>
      </c>
      <c r="S10" s="119">
        <f t="shared" si="5"/>
        <v>0</v>
      </c>
      <c r="T10" s="40">
        <f>S10/(1+'Assumed Values'!$C$6)^(Calculations!M10-'Assumed Values'!$C$5)</f>
        <v>0</v>
      </c>
    </row>
    <row r="11" spans="1:20" x14ac:dyDescent="0.3">
      <c r="A11" s="16" t="s">
        <v>105</v>
      </c>
      <c r="B11" s="43">
        <f>(_2045_Volume/_2025_Volume)^(1/(2045-2025))-1</f>
        <v>4.2169020648525457E-2</v>
      </c>
      <c r="D11" s="64" t="s">
        <v>134</v>
      </c>
      <c r="E11" s="100">
        <f>IF('Inputs &amp; Outputs'!$C$8='CRASH RATES'!$D$3, VLOOKUP('Inputs &amp; Outputs'!$C$7,'CRASH RATES'!$C$14:$J$21,4,FALSE), VLOOKUP('Inputs &amp; Outputs'!$C$7,'CRASH RATES'!$C$28:$J$35,4,FALSE))</f>
        <v>8.8235958091989612</v>
      </c>
      <c r="F11" s="83"/>
      <c r="M11" s="13">
        <f t="shared" si="1"/>
        <v>2025</v>
      </c>
      <c r="N11" s="53">
        <f t="shared" si="2"/>
        <v>0.13219475068382747</v>
      </c>
      <c r="O11" s="55">
        <f t="shared" si="3"/>
        <v>0.38643371017471728</v>
      </c>
      <c r="P11" s="58">
        <f t="shared" si="4"/>
        <v>1</v>
      </c>
      <c r="Q11" s="119">
        <f>IF(M11=Year_Open_to_Traffic?,Calculations!$J$4,Calculations!Q10+Calculations!Q10*Calculations!N11*P11)</f>
        <v>1495.6618924711829</v>
      </c>
      <c r="R11" s="66">
        <f t="shared" si="0"/>
        <v>1</v>
      </c>
      <c r="S11" s="119">
        <f t="shared" si="5"/>
        <v>1.4956618924711829</v>
      </c>
      <c r="T11" s="40">
        <f>S11/(1+'Assumed Values'!$C$6)^(Calculations!M11-'Assumed Values'!$C$5)</f>
        <v>0.93142305748304821</v>
      </c>
    </row>
    <row r="12" spans="1:20" x14ac:dyDescent="0.3">
      <c r="A12" s="16" t="s">
        <v>106</v>
      </c>
      <c r="B12" s="43">
        <f>(_2045_Volume/'Inputs &amp; Outputs'!C26)^(1/(2045-2018))-1</f>
        <v>6.4797638779368283E-2</v>
      </c>
      <c r="D12" s="64" t="s">
        <v>135</v>
      </c>
      <c r="E12" s="100">
        <f>IF('Inputs &amp; Outputs'!$C$8='CRASH RATES'!$D$3, VLOOKUP('Inputs &amp; Outputs'!$C$7,'CRASH RATES'!$C$14:$J$21,5,FALSE), VLOOKUP('Inputs &amp; Outputs'!$C$7,'CRASH RATES'!$C$28:$J$35,5,FALSE))</f>
        <v>49.782648723119337</v>
      </c>
      <c r="F12" s="83"/>
      <c r="M12" s="60">
        <f t="shared" si="1"/>
        <v>2026</v>
      </c>
      <c r="N12" s="53">
        <f t="shared" ref="N12:N36" si="6">IFERROR(_2025_2045_Demand_Growth,_2018_2045_Demand_Growth)</f>
        <v>4.2169020648525457E-2</v>
      </c>
      <c r="O12" s="55">
        <f t="shared" ref="O12:O36" si="7">O11*(1+IFERROR(_2025_2040_V_C_Growth,_2018_2045_V_C_Growth))</f>
        <v>0.40272924127836124</v>
      </c>
      <c r="P12" s="58">
        <f t="shared" si="4"/>
        <v>1</v>
      </c>
      <c r="Q12" s="119">
        <f>IF(M12=Year_Open_to_Traffic?,Calculations!$J$4,Calculations!Q11+Calculations!Q11*Calculations!N12*P12)</f>
        <v>1558.7324896980128</v>
      </c>
      <c r="R12" s="66">
        <f t="shared" si="0"/>
        <v>1</v>
      </c>
      <c r="S12" s="119">
        <f t="shared" si="5"/>
        <v>1.5587324896980128</v>
      </c>
      <c r="T12" s="40">
        <f>S12/(1+'Assumed Values'!$C$6)^(Calculations!M12-'Assumed Values'!$C$5)</f>
        <v>0.90719650058557344</v>
      </c>
    </row>
    <row r="13" spans="1:20" x14ac:dyDescent="0.3">
      <c r="A13" s="16" t="s">
        <v>75</v>
      </c>
      <c r="B13" s="21">
        <f>'Inputs &amp; Outputs'!C26/_2018_Capacity</f>
        <v>0.16204179513532033</v>
      </c>
      <c r="D13" s="64" t="s">
        <v>136</v>
      </c>
      <c r="E13" s="100">
        <f>IF('Inputs &amp; Outputs'!$C$8='CRASH RATES'!$D$3, VLOOKUP('Inputs &amp; Outputs'!$C$7,'CRASH RATES'!$C$14:$J$21,6,FALSE), VLOOKUP('Inputs &amp; Outputs'!$C$7,'CRASH RATES'!$C$28:$J$35,6,FALSE))</f>
        <v>124.27924895011503</v>
      </c>
      <c r="F13" s="83"/>
      <c r="M13" s="13">
        <f t="shared" si="1"/>
        <v>2027</v>
      </c>
      <c r="N13" s="53">
        <f t="shared" si="6"/>
        <v>4.2169020648525457E-2</v>
      </c>
      <c r="O13" s="55">
        <f t="shared" si="7"/>
        <v>0.41971193896959347</v>
      </c>
      <c r="P13" s="58">
        <f t="shared" si="4"/>
        <v>1</v>
      </c>
      <c r="Q13" s="119">
        <f>IF(M13=Year_Open_to_Traffic?,Calculations!$J$4,Calculations!Q12+Calculations!Q12*Calculations!N13*P13)</f>
        <v>1624.4627122416159</v>
      </c>
      <c r="R13" s="66">
        <f t="shared" si="0"/>
        <v>1</v>
      </c>
      <c r="S13" s="119">
        <f t="shared" si="5"/>
        <v>1.624462712241616</v>
      </c>
      <c r="T13" s="40">
        <f>S13/(1+'Assumed Values'!$C$6)^(Calculations!M13-'Assumed Values'!$C$5)</f>
        <v>0.88360008275797808</v>
      </c>
    </row>
    <row r="14" spans="1:20" x14ac:dyDescent="0.3">
      <c r="A14" s="16" t="s">
        <v>74</v>
      </c>
      <c r="B14" s="21">
        <f>_2025_Volume/_2025_Capacity</f>
        <v>0.38643371017471739</v>
      </c>
      <c r="D14" s="64" t="s">
        <v>137</v>
      </c>
      <c r="E14" s="100">
        <f>IF('Inputs &amp; Outputs'!$C$8='CRASH RATES'!$D$3, VLOOKUP('Inputs &amp; Outputs'!$C$7,'CRASH RATES'!$C$14:$J$21,7,FALSE), VLOOKUP('Inputs &amp; Outputs'!$C$7,'CRASH RATES'!$C$28:$J$35,7,FALSE))</f>
        <v>963.65828946693784</v>
      </c>
      <c r="F14" s="83"/>
      <c r="M14" s="60">
        <f>M13+1</f>
        <v>2028</v>
      </c>
      <c r="N14" s="53">
        <f t="shared" si="6"/>
        <v>4.2169020648525457E-2</v>
      </c>
      <c r="O14" s="55">
        <f>O13*(1+IFERROR(_2025_2040_V_C_Growth,_2018_2045_V_C_Growth))</f>
        <v>0.43741078039043491</v>
      </c>
      <c r="P14" s="58">
        <f t="shared" si="4"/>
        <v>1</v>
      </c>
      <c r="Q14" s="119">
        <f>IF(M14=Year_Open_to_Traffic?,Calculations!$J$4,Calculations!Q13+Calculations!Q13*Calculations!N14*P14)</f>
        <v>1692.9647138968924</v>
      </c>
      <c r="R14" s="66">
        <f t="shared" si="0"/>
        <v>1</v>
      </c>
      <c r="S14" s="119">
        <f t="shared" si="5"/>
        <v>1.6929647138968924</v>
      </c>
      <c r="T14" s="40">
        <f>S14/(1+'Assumed Values'!$C$6)^(Calculations!M14-'Assumed Values'!$C$5)</f>
        <v>0.8606174139185403</v>
      </c>
    </row>
    <row r="15" spans="1:20" x14ac:dyDescent="0.3">
      <c r="A15" s="16" t="s">
        <v>140</v>
      </c>
      <c r="B15" s="21">
        <f>_2045_Volume/_2045_Capacity</f>
        <v>0.88275094210346006</v>
      </c>
      <c r="D15" s="64" t="s">
        <v>138</v>
      </c>
      <c r="E15" s="100">
        <f>IF('Inputs &amp; Outputs'!$C$8='CRASH RATES'!$D$3, VLOOKUP('Inputs &amp; Outputs'!$C$7,'CRASH RATES'!$C$14:$J$21,8,FALSE), VLOOKUP('Inputs &amp; Outputs'!$C$7,'CRASH RATES'!$C$28:$J$35,8,FALSE))</f>
        <v>83.618632907852302</v>
      </c>
      <c r="F15" s="83"/>
      <c r="M15" s="13">
        <f>M14+1</f>
        <v>2029</v>
      </c>
      <c r="N15" s="53">
        <f t="shared" si="6"/>
        <v>4.2169020648525457E-2</v>
      </c>
      <c r="O15" s="55">
        <f>O14*(1+IFERROR(_2025_2040_V_C_Growth,_2018_2045_V_C_Growth))</f>
        <v>0.45585596462060679</v>
      </c>
      <c r="P15" s="58">
        <f t="shared" si="4"/>
        <v>1</v>
      </c>
      <c r="Q15" s="119">
        <f>IF(M15=Year_Open_to_Traffic?,Calculations!$J$4,Calculations!Q14+Calculations!Q14*Calculations!N15*P15)</f>
        <v>1764.3553778744354</v>
      </c>
      <c r="R15" s="66">
        <f t="shared" si="0"/>
        <v>1</v>
      </c>
      <c r="S15" s="119">
        <f t="shared" si="5"/>
        <v>1.7643553778744354</v>
      </c>
      <c r="T15" s="40">
        <f>S15/(1+'Assumed Values'!$C$6)^(Calculations!M15-'Assumed Values'!$C$5)</f>
        <v>0.83823253029584266</v>
      </c>
    </row>
    <row r="16" spans="1:20" x14ac:dyDescent="0.3">
      <c r="A16" s="16" t="s">
        <v>80</v>
      </c>
      <c r="B16" s="43">
        <f>(B14/B13)^(1/(2025-2018))-1</f>
        <v>0.13219475068382747</v>
      </c>
      <c r="M16" s="60">
        <f t="shared" si="1"/>
        <v>2030</v>
      </c>
      <c r="N16" s="53">
        <f t="shared" si="6"/>
        <v>4.2169020648525457E-2</v>
      </c>
      <c r="O16" s="55">
        <f t="shared" si="7"/>
        <v>0.47507896420544665</v>
      </c>
      <c r="P16" s="58">
        <f t="shared" si="4"/>
        <v>1</v>
      </c>
      <c r="Q16" s="119">
        <f>IF(M16=Year_Open_to_Traffic?,Calculations!$J$4,Calculations!Q15+Calculations!Q15*Calculations!N16*P16)</f>
        <v>1838.7565162353594</v>
      </c>
      <c r="R16" s="66">
        <f t="shared" si="0"/>
        <v>1</v>
      </c>
      <c r="S16" s="119">
        <f t="shared" si="5"/>
        <v>1.8387565162353594</v>
      </c>
      <c r="T16" s="40">
        <f>S16/(1+'Assumed Values'!$C$6)^(Calculations!M16-'Assumed Values'!$C$5)</f>
        <v>0.81642988334033084</v>
      </c>
    </row>
    <row r="17" spans="1:20" x14ac:dyDescent="0.3">
      <c r="A17" s="16" t="s">
        <v>107</v>
      </c>
      <c r="B17" s="43">
        <f>(B15/B14)^(1/(2045-2025))-1</f>
        <v>4.2169020648525457E-2</v>
      </c>
      <c r="M17" s="13">
        <f t="shared" si="1"/>
        <v>2031</v>
      </c>
      <c r="N17" s="53">
        <f t="shared" si="6"/>
        <v>4.2169020648525457E-2</v>
      </c>
      <c r="O17" s="55">
        <f t="shared" si="7"/>
        <v>0.49511257885670623</v>
      </c>
      <c r="P17" s="58">
        <f t="shared" si="4"/>
        <v>1</v>
      </c>
      <c r="Q17" s="119">
        <f>IF(M17=Year_Open_to_Traffic?,Calculations!$J$4,Calculations!Q16+Calculations!Q16*Calculations!N17*P17)</f>
        <v>1916.2950777360991</v>
      </c>
      <c r="R17" s="66">
        <f t="shared" si="0"/>
        <v>1</v>
      </c>
      <c r="S17" s="119">
        <f t="shared" si="5"/>
        <v>1.916295077736099</v>
      </c>
      <c r="T17" s="40">
        <f>S17/(1+'Assumed Values'!$C$6)^(Calculations!M17-'Assumed Values'!$C$5)</f>
        <v>0.79519432892428255</v>
      </c>
    </row>
    <row r="18" spans="1:20" x14ac:dyDescent="0.3">
      <c r="A18" s="16" t="s">
        <v>108</v>
      </c>
      <c r="B18" s="43">
        <f>(B15/B13)^(1/(2045-2018))-1</f>
        <v>6.4797638779368283E-2</v>
      </c>
      <c r="D18" s="109" t="s">
        <v>175</v>
      </c>
      <c r="E18" s="82"/>
      <c r="M18" s="60">
        <f t="shared" si="1"/>
        <v>2032</v>
      </c>
      <c r="N18" s="53">
        <f t="shared" si="6"/>
        <v>4.2169020648525457E-2</v>
      </c>
      <c r="O18" s="55">
        <f t="shared" si="7"/>
        <v>0.51599099141785931</v>
      </c>
      <c r="P18" s="58">
        <f t="shared" si="4"/>
        <v>1</v>
      </c>
      <c r="Q18" s="119">
        <f>IF(M18=Year_Open_to_Traffic?,Calculations!$J$4,Calculations!Q17+Calculations!Q17*Calculations!N18*P18)</f>
        <v>1997.1033644378203</v>
      </c>
      <c r="R18" s="66">
        <f t="shared" si="0"/>
        <v>1</v>
      </c>
      <c r="S18" s="119">
        <f t="shared" si="5"/>
        <v>1.9971033644378204</v>
      </c>
      <c r="T18" s="40">
        <f>S18/(1+'Assumed Values'!$C$6)^(Calculations!M18-'Assumed Values'!$C$5)</f>
        <v>0.77451111682269269</v>
      </c>
    </row>
    <row r="19" spans="1:20" x14ac:dyDescent="0.3">
      <c r="D19" s="64" t="s">
        <v>89</v>
      </c>
      <c r="E19" s="106">
        <f>(Calculations!$E$6*Death_Rate)/100000000</f>
        <v>4.8976541038971708E-5</v>
      </c>
      <c r="M19" s="13">
        <f t="shared" si="1"/>
        <v>2033</v>
      </c>
      <c r="N19" s="53">
        <f t="shared" si="6"/>
        <v>4.2169020648525457E-2</v>
      </c>
      <c r="O19" s="55">
        <f t="shared" si="7"/>
        <v>0.53774982618941214</v>
      </c>
      <c r="P19" s="58">
        <f t="shared" si="4"/>
        <v>1</v>
      </c>
      <c r="Q19" s="119">
        <f>IF(M19=Year_Open_to_Traffic?,Calculations!$J$4,Calculations!Q18+Calculations!Q18*Calculations!N19*P19)</f>
        <v>2081.3192574500385</v>
      </c>
      <c r="R19" s="66">
        <f t="shared" si="0"/>
        <v>1</v>
      </c>
      <c r="S19" s="119">
        <f t="shared" si="5"/>
        <v>2.0813192574500388</v>
      </c>
      <c r="T19" s="40">
        <f>S19/(1+'Assumed Values'!$C$6)^(Calculations!M19-'Assumed Values'!$C$5)</f>
        <v>0.75436588046775821</v>
      </c>
    </row>
    <row r="20" spans="1:20" x14ac:dyDescent="0.3">
      <c r="D20" s="64" t="s">
        <v>94</v>
      </c>
      <c r="E20" s="106">
        <f>(Calculations!$E$6*Incap_Injry_Rate)/100000000</f>
        <v>2.4756851550989891E-4</v>
      </c>
      <c r="M20" s="60">
        <f t="shared" si="1"/>
        <v>2034</v>
      </c>
      <c r="N20" s="53">
        <f t="shared" si="6"/>
        <v>4.2169020648525457E-2</v>
      </c>
      <c r="O20" s="55">
        <f t="shared" si="7"/>
        <v>0.56042620971373447</v>
      </c>
      <c r="P20" s="58">
        <f t="shared" si="4"/>
        <v>1</v>
      </c>
      <c r="Q20" s="119">
        <f>IF(M20=Year_Open_to_Traffic?,Calculations!$J$4,Calculations!Q19+Calculations!Q19*Calculations!N20*P20)</f>
        <v>2169.0864521936228</v>
      </c>
      <c r="R20" s="66">
        <f t="shared" si="0"/>
        <v>1</v>
      </c>
      <c r="S20" s="119">
        <f t="shared" si="5"/>
        <v>2.1690864521936226</v>
      </c>
      <c r="T20" s="40">
        <f>S20/(1+'Assumed Values'!$C$6)^(Calculations!M20-'Assumed Values'!$C$5)</f>
        <v>0.73474462696985621</v>
      </c>
    </row>
    <row r="21" spans="1:20" x14ac:dyDescent="0.3">
      <c r="D21" s="64" t="s">
        <v>93</v>
      </c>
      <c r="E21" s="106">
        <f>(Calculations!$E$6*Nonincap_Injry_Rate)/100000000</f>
        <v>1.3967793526630608E-3</v>
      </c>
      <c r="M21" s="13">
        <f>M20+1</f>
        <v>2035</v>
      </c>
      <c r="N21" s="53">
        <f t="shared" si="6"/>
        <v>4.2169020648525457E-2</v>
      </c>
      <c r="O21" s="55">
        <f>O20*(1+IFERROR(_2025_2040_V_C_Growth,_2018_2045_V_C_Growth))</f>
        <v>0.58405883412312776</v>
      </c>
      <c r="P21" s="58">
        <f t="shared" si="4"/>
        <v>1</v>
      </c>
      <c r="Q21" s="119">
        <f>IF(M21=Year_Open_to_Traffic?,Calculations!$J$4,Calculations!Q20+Calculations!Q20*Calculations!N21*P21)</f>
        <v>2260.5547035846125</v>
      </c>
      <c r="R21" s="66">
        <f t="shared" si="0"/>
        <v>0</v>
      </c>
      <c r="S21" s="119">
        <f t="shared" si="5"/>
        <v>0</v>
      </c>
      <c r="T21" s="40">
        <f>S21/(1+'Assumed Values'!$C$6)^(Calculations!M21-'Assumed Values'!$C$5)</f>
        <v>0</v>
      </c>
    </row>
    <row r="22" spans="1:20" x14ac:dyDescent="0.3">
      <c r="D22" s="64" t="s">
        <v>92</v>
      </c>
      <c r="E22" s="106">
        <f>(Calculations!$E$6*Poss_Injry_Rate)/100000000</f>
        <v>3.4869717331327244E-3</v>
      </c>
      <c r="M22" s="60">
        <f>M21+1</f>
        <v>2036</v>
      </c>
      <c r="N22" s="53">
        <f t="shared" si="6"/>
        <v>4.2169020648525457E-2</v>
      </c>
      <c r="O22" s="55">
        <f t="shared" si="7"/>
        <v>0.60868802315921966</v>
      </c>
      <c r="P22" s="58">
        <f t="shared" si="4"/>
        <v>1</v>
      </c>
      <c r="Q22" s="119">
        <f>IF(M22=Year_Open_to_Traffic?,Calculations!$J$4,Calculations!Q21+Calculations!Q21*Calculations!N22*P22)</f>
        <v>2355.8800815571935</v>
      </c>
      <c r="R22" s="66">
        <f t="shared" si="0"/>
        <v>0</v>
      </c>
      <c r="S22" s="119">
        <f t="shared" si="5"/>
        <v>0</v>
      </c>
      <c r="T22" s="40">
        <f>S22/(1+'Assumed Values'!$C$6)^(Calculations!M22-'Assumed Values'!$C$5)</f>
        <v>0</v>
      </c>
    </row>
    <row r="23" spans="1:20" x14ac:dyDescent="0.3">
      <c r="D23" s="64" t="s">
        <v>91</v>
      </c>
      <c r="E23" s="106">
        <f>(Calculations!$E$6*Non_Injry_Rate)/100000000</f>
        <v>2.7037894452669482E-2</v>
      </c>
      <c r="M23" s="13">
        <f t="shared" si="1"/>
        <v>2037</v>
      </c>
      <c r="N23" s="53">
        <f t="shared" si="6"/>
        <v>4.2169020648525457E-2</v>
      </c>
      <c r="O23" s="55">
        <f t="shared" si="7"/>
        <v>0.63435580097633093</v>
      </c>
      <c r="P23" s="58">
        <f t="shared" si="4"/>
        <v>1</v>
      </c>
      <c r="Q23" s="119">
        <f>IF(M23=Year_Open_to_Traffic?,Calculations!$J$4,Calculations!Q22+Calculations!Q22*Calculations!N23*P23)</f>
        <v>2455.2252373618285</v>
      </c>
      <c r="R23" s="66">
        <f t="shared" si="0"/>
        <v>0</v>
      </c>
      <c r="S23" s="119">
        <f t="shared" si="5"/>
        <v>0</v>
      </c>
      <c r="T23" s="40">
        <f>S23/(1+'Assumed Values'!$C$6)^(Calculations!M23-'Assumed Values'!$C$5)</f>
        <v>0</v>
      </c>
    </row>
    <row r="24" spans="1:20" x14ac:dyDescent="0.3">
      <c r="D24" s="64" t="s">
        <v>90</v>
      </c>
      <c r="E24" s="106">
        <f>(Calculations!$E$6*Unkn_Injry_Rate)/100000000</f>
        <v>2.3461343046088058E-3</v>
      </c>
      <c r="M24" s="60">
        <f t="shared" si="1"/>
        <v>2038</v>
      </c>
      <c r="N24" s="53">
        <f t="shared" si="6"/>
        <v>4.2169020648525457E-2</v>
      </c>
      <c r="O24" s="55">
        <f t="shared" si="7"/>
        <v>0.66110596384621378</v>
      </c>
      <c r="P24" s="58">
        <f t="shared" si="4"/>
        <v>1</v>
      </c>
      <c r="Q24" s="119">
        <f>IF(M24=Year_Open_to_Traffic?,Calculations!$J$4,Calculations!Q23+Calculations!Q23*Calculations!N24*P24)</f>
        <v>2558.7596810929203</v>
      </c>
      <c r="R24" s="66">
        <f t="shared" si="0"/>
        <v>0</v>
      </c>
      <c r="S24" s="119">
        <f t="shared" si="5"/>
        <v>0</v>
      </c>
      <c r="T24" s="40">
        <f>S24/(1+'Assumed Values'!$C$6)^(Calculations!M24-'Assumed Values'!$C$5)</f>
        <v>0</v>
      </c>
    </row>
    <row r="25" spans="1:20" x14ac:dyDescent="0.3">
      <c r="M25" s="13">
        <f t="shared" si="1"/>
        <v>2039</v>
      </c>
      <c r="N25" s="53">
        <f t="shared" si="6"/>
        <v>4.2169020648525457E-2</v>
      </c>
      <c r="O25" s="55">
        <f t="shared" si="7"/>
        <v>0.6889841548865081</v>
      </c>
      <c r="P25" s="58">
        <f t="shared" si="4"/>
        <v>1</v>
      </c>
      <c r="Q25" s="119">
        <f>IF(M25=Year_Open_to_Traffic?,Calculations!$J$4,Calculations!Q24+Calculations!Q24*Calculations!N25*P25)</f>
        <v>2666.6600709195422</v>
      </c>
      <c r="R25" s="66">
        <f t="shared" si="0"/>
        <v>0</v>
      </c>
      <c r="S25" s="119">
        <f t="shared" si="5"/>
        <v>0</v>
      </c>
      <c r="T25" s="40">
        <f>S25/(1+'Assumed Values'!$C$6)^(Calculations!M25-'Assumed Values'!$C$5)</f>
        <v>0</v>
      </c>
    </row>
    <row r="26" spans="1:20" x14ac:dyDescent="0.3">
      <c r="A26" s="117" t="s">
        <v>99</v>
      </c>
      <c r="B26" s="117"/>
      <c r="D26" s="110" t="s">
        <v>89</v>
      </c>
      <c r="E26" s="110" t="s">
        <v>94</v>
      </c>
      <c r="F26" s="110" t="s">
        <v>93</v>
      </c>
      <c r="G26" s="110" t="s">
        <v>92</v>
      </c>
      <c r="H26" s="110" t="s">
        <v>91</v>
      </c>
      <c r="I26" s="110" t="s">
        <v>90</v>
      </c>
      <c r="J26" s="118" t="s">
        <v>100</v>
      </c>
      <c r="M26" s="60">
        <f t="shared" si="1"/>
        <v>2040</v>
      </c>
      <c r="N26" s="53">
        <f t="shared" si="6"/>
        <v>4.2169020648525457E-2</v>
      </c>
      <c r="O26" s="55">
        <f t="shared" si="7"/>
        <v>0.71803794194042414</v>
      </c>
      <c r="P26" s="58">
        <f t="shared" si="4"/>
        <v>1</v>
      </c>
      <c r="Q26" s="119">
        <f>IF(M26=Year_Open_to_Traffic?,Calculations!$J$4,Calculations!Q25+Calculations!Q25*Calculations!N26*P26)</f>
        <v>2779.1105145127467</v>
      </c>
      <c r="R26" s="66">
        <f t="shared" si="0"/>
        <v>0</v>
      </c>
      <c r="S26" s="119">
        <f t="shared" si="5"/>
        <v>0</v>
      </c>
      <c r="T26" s="40">
        <f>S26/(1+'Assumed Values'!$C$6)^(Calculations!M26-'Assumed Values'!$C$5)</f>
        <v>0</v>
      </c>
    </row>
    <row r="27" spans="1:20" x14ac:dyDescent="0.3">
      <c r="A27" s="117"/>
      <c r="B27" s="117"/>
      <c r="D27" s="70">
        <f>Calculations!E19</f>
        <v>4.8976541038971708E-5</v>
      </c>
      <c r="E27" s="70">
        <f>Calculations!E20</f>
        <v>2.4756851550989891E-4</v>
      </c>
      <c r="F27" s="70">
        <f>Calculations!E21</f>
        <v>1.3967793526630608E-3</v>
      </c>
      <c r="G27" s="70">
        <f>Calculations!E22</f>
        <v>3.4869717331327244E-3</v>
      </c>
      <c r="H27" s="70">
        <f>Calculations!E23</f>
        <v>2.7037894452669482E-2</v>
      </c>
      <c r="I27" s="70">
        <f>Calculations!E24</f>
        <v>2.3461343046088058E-3</v>
      </c>
      <c r="J27" s="118"/>
      <c r="L27" s="103"/>
      <c r="M27" s="13">
        <f t="shared" si="1"/>
        <v>2041</v>
      </c>
      <c r="N27" s="53">
        <f t="shared" si="6"/>
        <v>4.2169020648525457E-2</v>
      </c>
      <c r="O27" s="55">
        <f t="shared" si="7"/>
        <v>0.74831689874053464</v>
      </c>
      <c r="P27" s="58">
        <f t="shared" si="4"/>
        <v>1</v>
      </c>
      <c r="Q27" s="119">
        <f>IF(M27=Year_Open_to_Traffic?,Calculations!$J$4,Calculations!Q26+Calculations!Q26*Calculations!N27*P27)</f>
        <v>2896.3028831837692</v>
      </c>
      <c r="R27" s="66">
        <f t="shared" si="0"/>
        <v>0</v>
      </c>
      <c r="S27" s="119">
        <f t="shared" si="5"/>
        <v>0</v>
      </c>
      <c r="T27" s="40">
        <f>S27/(1+'Assumed Values'!$C$6)^(Calculations!M27-'Assumed Values'!$C$5)</f>
        <v>0</v>
      </c>
    </row>
    <row r="28" spans="1:20" x14ac:dyDescent="0.3">
      <c r="A28" s="49" t="s">
        <v>95</v>
      </c>
      <c r="B28" s="67" t="s">
        <v>96</v>
      </c>
      <c r="D28" s="71">
        <f>D$27*'Value of Statistical Life'!D17</f>
        <v>0</v>
      </c>
      <c r="E28" s="71">
        <f>E$27*'Value of Statistical Life'!E17</f>
        <v>8.5089298780752243E-6</v>
      </c>
      <c r="F28" s="71">
        <f>F$27*'Value of Statistical Life'!F17</f>
        <v>1.1658917256678568E-4</v>
      </c>
      <c r="G28" s="71">
        <f>G$27*'Value of Statistical Life'!G17</f>
        <v>8.1724156509431663E-4</v>
      </c>
      <c r="H28" s="71">
        <f>H$27*'Value of Statistical Life'!H17</f>
        <v>2.501924525283318E-2</v>
      </c>
      <c r="I28" s="71">
        <f>I$27*'Value of Statistical Life'!I17</f>
        <v>1.0246976188809419E-3</v>
      </c>
      <c r="J28" s="71">
        <f>SUM(D28:I28)</f>
        <v>2.6986282539253299E-2</v>
      </c>
      <c r="K28" s="99"/>
      <c r="L28" s="103"/>
      <c r="M28" s="60">
        <f t="shared" si="1"/>
        <v>2042</v>
      </c>
      <c r="N28" s="53">
        <f t="shared" si="6"/>
        <v>4.2169020648525457E-2</v>
      </c>
      <c r="O28" s="55">
        <f t="shared" si="7"/>
        <v>0.77987268949516475</v>
      </c>
      <c r="P28" s="58">
        <f t="shared" si="4"/>
        <v>1</v>
      </c>
      <c r="Q28" s="119">
        <f>IF(M28=Year_Open_to_Traffic?,Calculations!$J$4,Calculations!Q27+Calculations!Q27*Calculations!N28*P28)</f>
        <v>3018.4371392691291</v>
      </c>
      <c r="R28" s="66">
        <f t="shared" si="0"/>
        <v>0</v>
      </c>
      <c r="S28" s="119">
        <f t="shared" si="5"/>
        <v>0</v>
      </c>
      <c r="T28" s="40">
        <f>S28/(1+'Assumed Values'!$C$6)^(Calculations!M28-'Assumed Values'!$C$5)</f>
        <v>0</v>
      </c>
    </row>
    <row r="29" spans="1:20" x14ac:dyDescent="0.3">
      <c r="A29" s="49" t="s">
        <v>61</v>
      </c>
      <c r="B29" s="50" t="s">
        <v>62</v>
      </c>
      <c r="D29" s="71">
        <f>D$27*'Value of Statistical Life'!D18</f>
        <v>0</v>
      </c>
      <c r="E29" s="71">
        <f>E$27*'Value of Statistical Life'!E18</f>
        <v>1.3727426616508387E-4</v>
      </c>
      <c r="F29" s="71">
        <f>F$27*'Value of Statistical Life'!F18</f>
        <v>1.0733271579668757E-3</v>
      </c>
      <c r="G29" s="71">
        <f>G$27*'Value of Statistical Life'!G18</f>
        <v>2.404127531125688E-3</v>
      </c>
      <c r="H29" s="71">
        <f>H$27*'Value of Statistical Life'!H18</f>
        <v>1.9621400004302242E-3</v>
      </c>
      <c r="I29" s="71">
        <f>I$27*'Value of Statistical Life'!I18</f>
        <v>9.7925299740066933E-4</v>
      </c>
      <c r="J29" s="71">
        <f t="shared" ref="J29:J34" si="8">SUM(D29:I29)</f>
        <v>6.5561219530885402E-3</v>
      </c>
      <c r="K29" s="99"/>
      <c r="L29" s="103"/>
      <c r="M29" s="13">
        <f t="shared" si="1"/>
        <v>2043</v>
      </c>
      <c r="N29" s="53">
        <f t="shared" si="6"/>
        <v>4.2169020648525457E-2</v>
      </c>
      <c r="O29" s="55">
        <f t="shared" si="7"/>
        <v>0.81275915704170743</v>
      </c>
      <c r="P29" s="58">
        <f t="shared" si="4"/>
        <v>1</v>
      </c>
      <c r="Q29" s="119">
        <f>IF(M29=Year_Open_to_Traffic?,Calculations!$J$4,Calculations!Q28+Calculations!Q28*Calculations!N29*P29)</f>
        <v>3145.7216773212454</v>
      </c>
      <c r="R29" s="66">
        <f t="shared" si="0"/>
        <v>0</v>
      </c>
      <c r="S29" s="119">
        <f t="shared" si="5"/>
        <v>0</v>
      </c>
      <c r="T29" s="40">
        <f>S29/(1+'Assumed Values'!$C$6)^(Calculations!M29-'Assumed Values'!$C$5)</f>
        <v>0</v>
      </c>
    </row>
    <row r="30" spans="1:20" x14ac:dyDescent="0.3">
      <c r="A30" s="49" t="s">
        <v>63</v>
      </c>
      <c r="B30" s="50" t="s">
        <v>64</v>
      </c>
      <c r="D30" s="71">
        <f>D$27*'Value of Statistical Life'!D19</f>
        <v>0</v>
      </c>
      <c r="E30" s="71">
        <f>E$27*'Value of Statistical Life'!E19</f>
        <v>5.1761625222809663E-5</v>
      </c>
      <c r="F30" s="71">
        <f>F$27*'Value of Statistical Life'!F19</f>
        <v>1.5222101385322035E-4</v>
      </c>
      <c r="G30" s="71">
        <f>G$27*'Value of Statistical Life'!G19</f>
        <v>2.2285236346451239E-4</v>
      </c>
      <c r="H30" s="71">
        <f>H$27*'Value of Statistical Life'!H19</f>
        <v>5.353503101628557E-5</v>
      </c>
      <c r="I30" s="71">
        <f>I$27*'Value of Statistical Life'!I19</f>
        <v>2.0814903550489324E-4</v>
      </c>
      <c r="J30" s="71">
        <f t="shared" si="8"/>
        <v>6.8851906906172125E-4</v>
      </c>
      <c r="K30" s="99"/>
      <c r="L30" s="103"/>
      <c r="M30" s="13">
        <f t="shared" si="1"/>
        <v>2044</v>
      </c>
      <c r="N30" s="53">
        <f t="shared" si="6"/>
        <v>4.2169020648525457E-2</v>
      </c>
      <c r="O30" s="55">
        <f t="shared" si="7"/>
        <v>0.8470324147172773</v>
      </c>
      <c r="P30" s="58">
        <f t="shared" si="4"/>
        <v>1</v>
      </c>
      <c r="Q30" s="119">
        <f>IF(M30=Year_Open_to_Traffic?,Calculations!$J$4,Calculations!Q29+Calculations!Q29*Calculations!N30*P30)</f>
        <v>3278.3736796867192</v>
      </c>
      <c r="R30" s="66">
        <f t="shared" si="0"/>
        <v>0</v>
      </c>
      <c r="S30" s="119">
        <f t="shared" si="5"/>
        <v>0</v>
      </c>
      <c r="T30" s="40">
        <f>S30/(1+'Assumed Values'!$C$6)^(Calculations!M30-'Assumed Values'!$C$5)</f>
        <v>0</v>
      </c>
    </row>
    <row r="31" spans="1:20" x14ac:dyDescent="0.3">
      <c r="A31" s="49" t="s">
        <v>65</v>
      </c>
      <c r="B31" s="50" t="s">
        <v>66</v>
      </c>
      <c r="D31" s="71">
        <f>D$27*'Value of Statistical Life'!D20</f>
        <v>0</v>
      </c>
      <c r="E31" s="71">
        <f>E$27*'Value of Statistical Life'!E20</f>
        <v>3.5741466584164109E-5</v>
      </c>
      <c r="F31" s="71">
        <f>F$27*'Value of Statistical Life'!F20</f>
        <v>4.4571229143478271E-5</v>
      </c>
      <c r="G31" s="71">
        <f>G$27*'Value of Statistical Life'!G20</f>
        <v>3.7345467261851481E-5</v>
      </c>
      <c r="H31" s="71">
        <f>H$27*'Value of Statistical Life'!H20</f>
        <v>2.1630315562135586E-6</v>
      </c>
      <c r="I31" s="71">
        <f>I$27*'Value of Statistical Life'!I20</f>
        <v>1.1301328945300617E-4</v>
      </c>
      <c r="J31" s="71">
        <f t="shared" si="8"/>
        <v>2.328344839987136E-4</v>
      </c>
      <c r="K31" s="99"/>
      <c r="L31" s="103"/>
      <c r="M31" s="13">
        <f t="shared" si="1"/>
        <v>2045</v>
      </c>
      <c r="N31" s="53">
        <f t="shared" si="6"/>
        <v>4.2169020648525457E-2</v>
      </c>
      <c r="O31" s="55">
        <f t="shared" si="7"/>
        <v>0.8827509421034605</v>
      </c>
      <c r="P31" s="58">
        <f t="shared" si="4"/>
        <v>1</v>
      </c>
      <c r="Q31" s="119">
        <f>IF(M31=Year_Open_to_Traffic?,Calculations!$J$4,Calculations!Q30+Calculations!Q30*Calculations!N31*P31)</f>
        <v>3416.6194870790109</v>
      </c>
      <c r="R31" s="66">
        <f t="shared" si="0"/>
        <v>0</v>
      </c>
      <c r="S31" s="119">
        <f t="shared" si="5"/>
        <v>0</v>
      </c>
      <c r="T31" s="40">
        <f>S31/(1+'Assumed Values'!$C$6)^(Calculations!M31-'Assumed Values'!$C$5)</f>
        <v>0</v>
      </c>
    </row>
    <row r="32" spans="1:20" x14ac:dyDescent="0.3">
      <c r="A32" s="49" t="s">
        <v>67</v>
      </c>
      <c r="B32" s="50" t="s">
        <v>68</v>
      </c>
      <c r="D32" s="71">
        <f>D$27*'Value of Statistical Life'!D21</f>
        <v>0</v>
      </c>
      <c r="E32" s="71">
        <f>E$27*'Value of Statistical Life'!E21</f>
        <v>9.8680810282245703E-6</v>
      </c>
      <c r="F32" s="71">
        <f>F$27*'Value of Statistical Life'!F21</f>
        <v>8.6600319865109759E-6</v>
      </c>
      <c r="G32" s="71">
        <f>G$27*'Value of Statistical Life'!G21</f>
        <v>4.9514998610484691E-6</v>
      </c>
      <c r="H32" s="71">
        <f>H$27*'Value of Statistical Life'!H21</f>
        <v>0</v>
      </c>
      <c r="I32" s="71">
        <f>I$27*'Value of Statistical Life'!I21</f>
        <v>1.4475648659436332E-5</v>
      </c>
      <c r="J32" s="71">
        <f t="shared" si="8"/>
        <v>3.7955261535220345E-5</v>
      </c>
      <c r="K32" s="99"/>
      <c r="L32" s="103"/>
      <c r="M32" s="13">
        <f t="shared" si="1"/>
        <v>2046</v>
      </c>
      <c r="N32" s="53">
        <f t="shared" si="6"/>
        <v>4.2169020648525457E-2</v>
      </c>
      <c r="O32" s="55">
        <f t="shared" si="7"/>
        <v>0.91997568480852665</v>
      </c>
      <c r="P32" s="58">
        <f t="shared" si="4"/>
        <v>1</v>
      </c>
      <c r="Q32" s="119">
        <f>IF(M32=Year_Open_to_Traffic?,Calculations!$J$4,Calculations!Q31+Calculations!Q31*Calculations!N32*P32)</f>
        <v>3560.6949847778001</v>
      </c>
      <c r="R32" s="66">
        <f t="shared" si="0"/>
        <v>0</v>
      </c>
      <c r="S32" s="119">
        <f t="shared" si="5"/>
        <v>0</v>
      </c>
      <c r="T32" s="40">
        <f>S32/(1+'Assumed Values'!$C$6)^(Calculations!M32-'Assumed Values'!$C$5)</f>
        <v>0</v>
      </c>
    </row>
    <row r="33" spans="1:20" x14ac:dyDescent="0.3">
      <c r="A33" s="49" t="s">
        <v>69</v>
      </c>
      <c r="B33" s="50" t="s">
        <v>70</v>
      </c>
      <c r="D33" s="71">
        <f>D$27*'Value of Statistical Life'!D22</f>
        <v>0</v>
      </c>
      <c r="E33" s="71">
        <f>E$27*'Value of Statistical Life'!E22</f>
        <v>4.4141466315414972E-6</v>
      </c>
      <c r="F33" s="71">
        <f>F$27*'Value of Statistical Life'!F22</f>
        <v>1.4107471461896914E-6</v>
      </c>
      <c r="G33" s="71">
        <f>G$27*'Value of Statistical Life'!G22</f>
        <v>4.5330632530725414E-7</v>
      </c>
      <c r="H33" s="71">
        <f>H$27*'Value of Statistical Life'!H22</f>
        <v>8.1113683358008442E-7</v>
      </c>
      <c r="I33" s="71">
        <f>I$27*'Value of Statistical Life'!I22</f>
        <v>6.5457147098585676E-6</v>
      </c>
      <c r="J33" s="71">
        <f t="shared" si="8"/>
        <v>1.3635051646477094E-5</v>
      </c>
      <c r="K33" s="99"/>
      <c r="L33" s="103"/>
      <c r="M33" s="13">
        <f t="shared" si="1"/>
        <v>2047</v>
      </c>
      <c r="N33" s="53">
        <f t="shared" si="6"/>
        <v>4.2169020648525457E-2</v>
      </c>
      <c r="O33" s="55">
        <f t="shared" si="7"/>
        <v>0.9587701584573588</v>
      </c>
      <c r="P33" s="58">
        <f t="shared" si="4"/>
        <v>1</v>
      </c>
      <c r="Q33" s="119">
        <f>IF(M33=Year_Open_to_Traffic?,Calculations!$J$4,Calculations!Q32+Calculations!Q32*Calculations!N33*P33)</f>
        <v>3710.8460051139964</v>
      </c>
      <c r="R33" s="66">
        <f t="shared" si="0"/>
        <v>0</v>
      </c>
      <c r="S33" s="119">
        <f t="shared" si="5"/>
        <v>0</v>
      </c>
      <c r="T33" s="40">
        <f>S33/(1+'Assumed Values'!$C$6)^(Calculations!M33-'Assumed Values'!$C$5)</f>
        <v>0</v>
      </c>
    </row>
    <row r="34" spans="1:20" x14ac:dyDescent="0.3">
      <c r="A34" s="49" t="s">
        <v>71</v>
      </c>
      <c r="B34" s="50" t="s">
        <v>72</v>
      </c>
      <c r="D34" s="71">
        <f>D$27*'Value of Statistical Life'!D23</f>
        <v>4.8976541038971708E-5</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4.8976541038971708E-5</v>
      </c>
      <c r="K34" s="99"/>
      <c r="L34" s="103"/>
      <c r="M34" s="13">
        <f t="shared" si="1"/>
        <v>2048</v>
      </c>
      <c r="N34" s="53">
        <f t="shared" si="6"/>
        <v>4.2169020648525457E-2</v>
      </c>
      <c r="O34" s="55">
        <f t="shared" si="7"/>
        <v>0.99920055706653721</v>
      </c>
      <c r="P34" s="58">
        <f t="shared" si="4"/>
        <v>1</v>
      </c>
      <c r="Q34" s="119">
        <f>IF(M34=Year_Open_to_Traffic?,Calculations!$J$4,Calculations!Q33+Calculations!Q33*Calculations!N34*P34)</f>
        <v>3867.3287469271468</v>
      </c>
      <c r="R34" s="66">
        <f t="shared" si="0"/>
        <v>0</v>
      </c>
      <c r="S34" s="119">
        <f t="shared" si="5"/>
        <v>0</v>
      </c>
      <c r="T34" s="40">
        <f>S34/(1+'Assumed Values'!$C$6)^(Calculations!M34-'Assumed Values'!$C$5)</f>
        <v>0</v>
      </c>
    </row>
    <row r="35" spans="1:20" x14ac:dyDescent="0.3">
      <c r="J35" s="86"/>
      <c r="K35" s="98"/>
      <c r="M35" s="13">
        <f t="shared" si="1"/>
        <v>2049</v>
      </c>
      <c r="N35" s="53">
        <f t="shared" si="6"/>
        <v>4.2169020648525457E-2</v>
      </c>
      <c r="O35" s="55">
        <f t="shared" si="7"/>
        <v>1.0413358659894942</v>
      </c>
      <c r="P35" s="58">
        <f t="shared" si="4"/>
        <v>0</v>
      </c>
      <c r="Q35" s="119">
        <f>IF(M35=Year_Open_to_Traffic?,Calculations!$J$4,Calculations!Q34+Calculations!Q34*Calculations!N35*P35)</f>
        <v>3867.3287469271468</v>
      </c>
      <c r="R35" s="66">
        <f t="shared" si="0"/>
        <v>0</v>
      </c>
      <c r="S35" s="119">
        <f t="shared" si="5"/>
        <v>0</v>
      </c>
      <c r="T35" s="40">
        <f>S35/(1+'Assumed Values'!$C$6)^(Calculations!M35-'Assumed Values'!$C$5)</f>
        <v>0</v>
      </c>
    </row>
    <row r="36" spans="1:20" x14ac:dyDescent="0.3">
      <c r="M36" s="13">
        <f t="shared" si="1"/>
        <v>2050</v>
      </c>
      <c r="N36" s="53">
        <f t="shared" si="6"/>
        <v>4.2169020648525457E-2</v>
      </c>
      <c r="O36" s="55">
        <f t="shared" si="7"/>
        <v>1.0852479796244554</v>
      </c>
      <c r="P36" s="58">
        <f t="shared" si="4"/>
        <v>0</v>
      </c>
      <c r="Q36" s="119">
        <f>IF(M36=Year_Open_to_Traffic?,Calculations!$J$4,Calculations!Q35+Calculations!Q35*Calculations!N36*P36)</f>
        <v>3867.3287469271468</v>
      </c>
      <c r="R36" s="66">
        <f t="shared" si="0"/>
        <v>0</v>
      </c>
      <c r="S36" s="119">
        <f t="shared" si="5"/>
        <v>0</v>
      </c>
      <c r="T36" s="40">
        <f>S36/(1+'Assumed Values'!$C$6)^(Calculations!M36-'Assumed Values'!$C$5)</f>
        <v>0</v>
      </c>
    </row>
    <row r="37" spans="1:20" x14ac:dyDescent="0.3">
      <c r="D37" s="28"/>
      <c r="E37" s="28"/>
      <c r="F37" s="28"/>
      <c r="G37" s="28"/>
      <c r="H37" s="28"/>
      <c r="M37" s="50"/>
      <c r="N37" s="120"/>
      <c r="O37" s="121"/>
      <c r="P37" s="122"/>
      <c r="Q37" s="50"/>
      <c r="R37" s="50"/>
      <c r="S37" s="50"/>
      <c r="T37" s="40">
        <f>SUM(T4:T36)</f>
        <v>8.2963154215659038</v>
      </c>
    </row>
    <row r="38" spans="1:20" x14ac:dyDescent="0.3">
      <c r="D38" s="28"/>
      <c r="E38" s="28"/>
      <c r="F38" s="28"/>
      <c r="G38" s="28"/>
      <c r="H38" s="28"/>
    </row>
    <row r="39" spans="1:20" x14ac:dyDescent="0.3">
      <c r="D39" s="28"/>
      <c r="E39" s="28"/>
      <c r="F39" s="28"/>
      <c r="G39" s="28"/>
      <c r="H39" s="28"/>
    </row>
    <row r="40" spans="1:20" x14ac:dyDescent="0.3">
      <c r="D40" s="28"/>
      <c r="E40" s="114"/>
      <c r="F40" s="115"/>
      <c r="G40" s="28"/>
      <c r="H40" s="28"/>
      <c r="J40" s="87"/>
    </row>
    <row r="41" spans="1:20" x14ac:dyDescent="0.3">
      <c r="D41" s="28"/>
      <c r="E41" s="114"/>
      <c r="F41" s="115"/>
      <c r="G41" s="28"/>
      <c r="H41" s="28"/>
      <c r="I41" s="85"/>
      <c r="J41" s="88"/>
      <c r="K41" s="85"/>
    </row>
    <row r="42" spans="1:20" x14ac:dyDescent="0.3">
      <c r="D42" s="28"/>
      <c r="E42" s="114"/>
      <c r="F42" s="115"/>
      <c r="G42" s="28"/>
      <c r="H42" s="28"/>
      <c r="I42" s="85"/>
      <c r="J42" s="88"/>
      <c r="K42" s="85"/>
      <c r="S42" s="77"/>
    </row>
    <row r="43" spans="1:20" x14ac:dyDescent="0.3">
      <c r="D43" s="28"/>
      <c r="E43" s="114"/>
      <c r="F43" s="115"/>
      <c r="G43" s="28"/>
      <c r="H43" s="28"/>
      <c r="I43" s="85"/>
      <c r="J43" s="88"/>
      <c r="K43" s="85"/>
    </row>
    <row r="44" spans="1:20" x14ac:dyDescent="0.3">
      <c r="D44" s="28"/>
      <c r="E44" s="114"/>
      <c r="F44" s="115"/>
      <c r="G44" s="28"/>
      <c r="H44" s="28"/>
      <c r="I44" s="85"/>
      <c r="J44" s="88"/>
      <c r="K44" s="85"/>
    </row>
    <row r="45" spans="1:20" x14ac:dyDescent="0.3">
      <c r="D45" s="28"/>
      <c r="E45" s="114"/>
      <c r="F45" s="115"/>
      <c r="G45" s="28"/>
      <c r="H45" s="28"/>
      <c r="I45" s="85"/>
      <c r="J45" s="88"/>
      <c r="K45" s="85"/>
    </row>
    <row r="46" spans="1:20" x14ac:dyDescent="0.3">
      <c r="D46" s="28"/>
      <c r="E46" s="114"/>
      <c r="F46" s="115"/>
      <c r="G46" s="28"/>
      <c r="H46" s="28"/>
      <c r="I46" s="85"/>
      <c r="J46" s="88"/>
      <c r="K46" s="85"/>
    </row>
    <row r="47" spans="1:20" x14ac:dyDescent="0.3">
      <c r="D47" s="28"/>
      <c r="E47" s="114"/>
      <c r="F47" s="115"/>
      <c r="G47" s="28"/>
      <c r="H47" s="28"/>
      <c r="I47" s="85"/>
      <c r="J47" s="88"/>
      <c r="K47" s="85"/>
    </row>
    <row r="48" spans="1:20" x14ac:dyDescent="0.3">
      <c r="D48" s="28"/>
      <c r="E48" s="114"/>
      <c r="F48" s="115"/>
      <c r="G48" s="28"/>
      <c r="H48" s="28"/>
      <c r="J48" s="87"/>
      <c r="K48" s="85"/>
    </row>
    <row r="49" spans="4:10" x14ac:dyDescent="0.3">
      <c r="D49" s="28"/>
      <c r="E49" s="114"/>
      <c r="F49" s="115"/>
      <c r="G49" s="28"/>
      <c r="H49" s="28"/>
      <c r="J49" s="87"/>
    </row>
    <row r="50" spans="4:10" x14ac:dyDescent="0.3">
      <c r="D50" s="28"/>
      <c r="E50" s="114"/>
      <c r="F50" s="115"/>
      <c r="G50" s="28"/>
      <c r="H50" s="28"/>
    </row>
    <row r="51" spans="4:10" x14ac:dyDescent="0.3">
      <c r="D51" s="28"/>
      <c r="E51" s="114"/>
      <c r="F51" s="115"/>
      <c r="G51" s="28"/>
      <c r="H51" s="28"/>
    </row>
    <row r="52" spans="4:10" x14ac:dyDescent="0.3">
      <c r="D52" s="28"/>
      <c r="E52" s="114"/>
      <c r="F52" s="115"/>
      <c r="G52" s="28"/>
      <c r="H52" s="28"/>
    </row>
    <row r="53" spans="4:10" x14ac:dyDescent="0.3">
      <c r="D53" s="28"/>
      <c r="E53" s="114"/>
      <c r="F53" s="115"/>
      <c r="G53" s="28"/>
      <c r="H53" s="28"/>
    </row>
    <row r="54" spans="4:10" x14ac:dyDescent="0.3">
      <c r="D54" s="28"/>
      <c r="E54" s="114"/>
      <c r="F54" s="115"/>
      <c r="G54" s="28"/>
      <c r="H54" s="28"/>
    </row>
    <row r="55" spans="4:10" x14ac:dyDescent="0.3">
      <c r="D55" s="28"/>
      <c r="E55" s="114"/>
      <c r="F55" s="115"/>
      <c r="G55" s="28"/>
      <c r="H55" s="28"/>
    </row>
    <row r="56" spans="4:10" x14ac:dyDescent="0.3">
      <c r="D56" s="28"/>
      <c r="E56" s="114"/>
      <c r="F56" s="115"/>
      <c r="G56" s="28"/>
      <c r="H56" s="28"/>
    </row>
    <row r="57" spans="4:10" x14ac:dyDescent="0.3">
      <c r="D57" s="28"/>
      <c r="E57" s="114"/>
      <c r="F57" s="115"/>
      <c r="G57" s="28"/>
      <c r="H57" s="28"/>
    </row>
    <row r="58" spans="4:10" x14ac:dyDescent="0.3">
      <c r="D58" s="28"/>
      <c r="E58" s="114"/>
      <c r="F58" s="115"/>
      <c r="G58" s="28"/>
      <c r="H58" s="28"/>
    </row>
    <row r="59" spans="4:10" x14ac:dyDescent="0.3">
      <c r="D59" s="28"/>
      <c r="E59" s="114"/>
      <c r="F59" s="115"/>
      <c r="G59" s="28"/>
      <c r="H59" s="28"/>
    </row>
    <row r="60" spans="4:10" x14ac:dyDescent="0.3">
      <c r="D60" s="28"/>
      <c r="E60" s="114"/>
      <c r="F60" s="115"/>
      <c r="G60" s="28"/>
      <c r="H60" s="28"/>
    </row>
    <row r="61" spans="4:10" x14ac:dyDescent="0.3">
      <c r="D61" s="28"/>
      <c r="E61" s="114"/>
      <c r="F61" s="115"/>
      <c r="G61" s="28"/>
      <c r="H61" s="28"/>
    </row>
    <row r="62" spans="4:10" x14ac:dyDescent="0.3">
      <c r="D62" s="28"/>
      <c r="E62" s="114"/>
      <c r="F62" s="115"/>
      <c r="G62" s="28"/>
      <c r="H62" s="28"/>
    </row>
    <row r="63" spans="4:10" x14ac:dyDescent="0.3">
      <c r="D63" s="28"/>
      <c r="E63" s="114"/>
      <c r="F63" s="115"/>
      <c r="G63" s="28"/>
      <c r="H63" s="28"/>
    </row>
    <row r="64" spans="4:10" x14ac:dyDescent="0.3">
      <c r="D64" s="28"/>
      <c r="E64" s="114"/>
      <c r="F64" s="115"/>
      <c r="G64" s="28"/>
      <c r="H64" s="28"/>
    </row>
    <row r="65" spans="4:8" x14ac:dyDescent="0.3">
      <c r="D65" s="28"/>
      <c r="E65" s="114"/>
      <c r="F65" s="115"/>
      <c r="G65" s="28"/>
      <c r="H65" s="28"/>
    </row>
    <row r="66" spans="4:8" x14ac:dyDescent="0.3">
      <c r="D66" s="28"/>
      <c r="E66" s="114"/>
      <c r="F66" s="115"/>
      <c r="G66" s="28"/>
      <c r="H66" s="28"/>
    </row>
    <row r="67" spans="4:8" x14ac:dyDescent="0.3">
      <c r="D67" s="28"/>
      <c r="E67" s="114"/>
      <c r="F67" s="115"/>
      <c r="G67" s="28"/>
      <c r="H67" s="28"/>
    </row>
    <row r="68" spans="4:8" x14ac:dyDescent="0.3">
      <c r="D68" s="28"/>
      <c r="E68" s="114"/>
      <c r="F68" s="115"/>
      <c r="G68" s="28"/>
      <c r="H68" s="28"/>
    </row>
    <row r="69" spans="4:8" x14ac:dyDescent="0.3">
      <c r="D69" s="28"/>
      <c r="E69" s="114"/>
      <c r="F69" s="115"/>
      <c r="G69" s="28"/>
      <c r="H69" s="28"/>
    </row>
    <row r="70" spans="4:8" x14ac:dyDescent="0.3">
      <c r="D70" s="28"/>
      <c r="E70" s="114"/>
      <c r="F70" s="115"/>
      <c r="G70" s="28"/>
      <c r="H70" s="28"/>
    </row>
    <row r="71" spans="4:8" x14ac:dyDescent="0.3">
      <c r="D71" s="28"/>
      <c r="E71" s="114"/>
      <c r="F71" s="115"/>
      <c r="G71" s="28"/>
      <c r="H71" s="28"/>
    </row>
    <row r="72" spans="4:8" x14ac:dyDescent="0.3">
      <c r="D72" s="28"/>
      <c r="E72" s="114"/>
      <c r="F72" s="115"/>
      <c r="G72" s="28"/>
      <c r="H72" s="28"/>
    </row>
    <row r="73" spans="4:8" x14ac:dyDescent="0.3">
      <c r="D73" s="28"/>
      <c r="E73" s="28"/>
      <c r="F73" s="28"/>
      <c r="G73" s="28"/>
      <c r="H73" s="28"/>
    </row>
    <row r="74" spans="4:8" x14ac:dyDescent="0.3">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2" t="s">
        <v>165</v>
      </c>
    </row>
    <row r="4" spans="2:3" x14ac:dyDescent="0.3">
      <c r="B4" s="2" t="s">
        <v>21</v>
      </c>
    </row>
    <row r="5" spans="2:3" x14ac:dyDescent="0.3">
      <c r="B5" s="31" t="s">
        <v>24</v>
      </c>
      <c r="C5" s="75">
        <v>2018</v>
      </c>
    </row>
    <row r="6" spans="2:3" x14ac:dyDescent="0.3">
      <c r="B6" s="31" t="s">
        <v>25</v>
      </c>
      <c r="C6" s="48">
        <v>7.0000000000000007E-2</v>
      </c>
    </row>
    <row r="7" spans="2:3" s="87" customFormat="1" x14ac:dyDescent="0.3">
      <c r="B7" s="111"/>
      <c r="C7" s="112"/>
    </row>
    <row r="8" spans="2:3" s="87" customFormat="1" x14ac:dyDescent="0.3">
      <c r="B8" s="111"/>
      <c r="C8" s="113"/>
    </row>
    <row r="9" spans="2:3" x14ac:dyDescent="0.3">
      <c r="B9" s="28"/>
      <c r="C9" s="29"/>
    </row>
    <row r="10" spans="2:3" x14ac:dyDescent="0.3">
      <c r="B10" s="30" t="s">
        <v>57</v>
      </c>
      <c r="C10" s="29"/>
    </row>
    <row r="11" spans="2:3" x14ac:dyDescent="0.3">
      <c r="B11" s="31" t="s">
        <v>109</v>
      </c>
      <c r="C11" s="76">
        <f>'Value of Statistical Life'!E11</f>
        <v>9600000</v>
      </c>
    </row>
    <row r="12" spans="2:3" x14ac:dyDescent="0.3">
      <c r="B12" s="158" t="s">
        <v>73</v>
      </c>
      <c r="C12" s="159"/>
    </row>
    <row r="14" spans="2:3" hidden="1" x14ac:dyDescent="0.3">
      <c r="B14" s="30" t="s">
        <v>22</v>
      </c>
      <c r="C14" s="29"/>
    </row>
    <row r="15" spans="2:3" hidden="1" x14ac:dyDescent="0.3">
      <c r="B15" s="31" t="s">
        <v>110</v>
      </c>
      <c r="C15" s="33" t="e">
        <f>#REF!</f>
        <v>#REF!</v>
      </c>
    </row>
    <row r="16" spans="2:3" hidden="1" x14ac:dyDescent="0.3">
      <c r="B16" s="64" t="s">
        <v>84</v>
      </c>
      <c r="C16" s="65">
        <v>1.2E-2</v>
      </c>
    </row>
    <row r="17" spans="2:3" hidden="1" x14ac:dyDescent="0.3"/>
    <row r="18" spans="2:3" hidden="1" x14ac:dyDescent="0.3">
      <c r="B18" s="30" t="s">
        <v>23</v>
      </c>
    </row>
    <row r="19" spans="2:3" hidden="1" x14ac:dyDescent="0.3">
      <c r="B19" s="31" t="s">
        <v>103</v>
      </c>
      <c r="C19" s="74" t="e">
        <f>#REF!</f>
        <v>#REF!</v>
      </c>
    </row>
    <row r="20" spans="2:3" hidden="1" x14ac:dyDescent="0.3">
      <c r="B20" s="31" t="s">
        <v>104</v>
      </c>
      <c r="C20" s="74" t="e">
        <f>#REF!</f>
        <v>#REF!</v>
      </c>
    </row>
    <row r="21" spans="2:3" hidden="1" x14ac:dyDescent="0.3">
      <c r="B21" s="31" t="s">
        <v>28</v>
      </c>
      <c r="C21" s="32">
        <f>(0.267383+0.37942)/2</f>
        <v>0.32340150000000001</v>
      </c>
    </row>
    <row r="22" spans="2:3" hidden="1" x14ac:dyDescent="0.3">
      <c r="B22" s="31" t="s">
        <v>29</v>
      </c>
      <c r="C22" s="32">
        <f>(0.183428+0.198698)/2</f>
        <v>0.19106300000000001</v>
      </c>
    </row>
    <row r="23" spans="2:3" ht="72" hidden="1" x14ac:dyDescent="0.3">
      <c r="B23" s="31" t="s">
        <v>26</v>
      </c>
      <c r="C23" s="72" t="s">
        <v>27</v>
      </c>
    </row>
    <row r="24" spans="2:3" hidden="1" x14ac:dyDescent="0.3"/>
    <row r="25" spans="2:3" hidden="1" x14ac:dyDescent="0.3"/>
    <row r="26" spans="2:3" hidden="1" x14ac:dyDescent="0.3"/>
    <row r="27" spans="2:3" hidden="1" x14ac:dyDescent="0.3"/>
    <row r="28" spans="2:3" hidden="1" x14ac:dyDescent="0.3"/>
    <row r="29" spans="2:3" hidden="1" x14ac:dyDescent="0.3"/>
    <row r="30" spans="2:3" hidden="1" x14ac:dyDescent="0.3"/>
    <row r="31" spans="2:3" hidden="1" x14ac:dyDescent="0.3"/>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4.4" x14ac:dyDescent="0.3"/>
  <cols>
    <col min="3" max="3" width="20" customWidth="1"/>
    <col min="4" max="4" width="13.109375" bestFit="1" customWidth="1"/>
    <col min="11" max="11" width="5.5546875" customWidth="1"/>
    <col min="12" max="12" width="4.88671875" customWidth="1"/>
    <col min="13" max="13" width="18.109375" customWidth="1"/>
    <col min="14" max="14" width="10.44140625" customWidth="1"/>
    <col min="15" max="15" width="14.6640625" customWidth="1"/>
    <col min="16" max="16" width="6.33203125" customWidth="1"/>
    <col min="17" max="17" width="19" customWidth="1"/>
  </cols>
  <sheetData>
    <row r="1" spans="3:24" x14ac:dyDescent="0.3">
      <c r="C1" t="s">
        <v>152</v>
      </c>
    </row>
    <row r="2" spans="3:24" x14ac:dyDescent="0.3">
      <c r="C2" t="s">
        <v>115</v>
      </c>
      <c r="D2" t="s">
        <v>124</v>
      </c>
      <c r="F2" s="50" t="s">
        <v>127</v>
      </c>
      <c r="G2" s="132" t="s">
        <v>189</v>
      </c>
    </row>
    <row r="3" spans="3:24" x14ac:dyDescent="0.3">
      <c r="C3" t="s">
        <v>118</v>
      </c>
      <c r="D3" t="s">
        <v>125</v>
      </c>
      <c r="F3" s="50" t="s">
        <v>128</v>
      </c>
      <c r="G3" s="132" t="s">
        <v>190</v>
      </c>
    </row>
    <row r="4" spans="3:24" x14ac:dyDescent="0.3">
      <c r="C4" t="s">
        <v>120</v>
      </c>
      <c r="D4" t="s">
        <v>126</v>
      </c>
      <c r="F4" s="50" t="s">
        <v>129</v>
      </c>
      <c r="G4" s="132" t="s">
        <v>191</v>
      </c>
    </row>
    <row r="5" spans="3:24" x14ac:dyDescent="0.3">
      <c r="C5" t="s">
        <v>117</v>
      </c>
      <c r="F5" s="50" t="s">
        <v>130</v>
      </c>
      <c r="G5" s="132" t="s">
        <v>192</v>
      </c>
    </row>
    <row r="6" spans="3:24" x14ac:dyDescent="0.3">
      <c r="C6" t="s">
        <v>119</v>
      </c>
      <c r="F6" s="50" t="s">
        <v>131</v>
      </c>
      <c r="G6" s="132" t="s">
        <v>193</v>
      </c>
    </row>
    <row r="7" spans="3:24" x14ac:dyDescent="0.3">
      <c r="C7" t="s">
        <v>116</v>
      </c>
      <c r="F7" s="50" t="s">
        <v>132</v>
      </c>
      <c r="G7" s="132" t="s">
        <v>194</v>
      </c>
    </row>
    <row r="8" spans="3:24" x14ac:dyDescent="0.3">
      <c r="C8" t="s">
        <v>121</v>
      </c>
    </row>
    <row r="9" spans="3:24" x14ac:dyDescent="0.3">
      <c r="C9" t="s">
        <v>122</v>
      </c>
    </row>
    <row r="10" spans="3:24" x14ac:dyDescent="0.3">
      <c r="C10" t="s">
        <v>123</v>
      </c>
    </row>
    <row r="12" spans="3:24" x14ac:dyDescent="0.3">
      <c r="C12" t="s">
        <v>142</v>
      </c>
      <c r="Q12" t="s">
        <v>150</v>
      </c>
    </row>
    <row r="13" spans="3:24" x14ac:dyDescent="0.3">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3">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3">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3">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3">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3">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3">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3">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3">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3">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3">
      <c r="C26" t="s">
        <v>143</v>
      </c>
      <c r="Q26" t="s">
        <v>151</v>
      </c>
    </row>
    <row r="27" spans="3:24" x14ac:dyDescent="0.3">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3">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3">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3">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3">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3">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3">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3">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3">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3">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3">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4.4" x14ac:dyDescent="0.3"/>
  <cols>
    <col min="2" max="2" width="14" customWidth="1"/>
    <col min="3" max="3" width="16.6640625" customWidth="1"/>
    <col min="4" max="4" width="14.109375" bestFit="1" customWidth="1"/>
    <col min="5" max="5" width="17.33203125" bestFit="1" customWidth="1"/>
    <col min="6" max="6" width="18.6640625" bestFit="1" customWidth="1"/>
    <col min="7" max="7" width="14.109375" bestFit="1" customWidth="1"/>
    <col min="8" max="8" width="13.88671875" customWidth="1"/>
    <col min="9" max="9" width="14.88671875" bestFit="1" customWidth="1"/>
    <col min="10" max="10" width="11" bestFit="1" customWidth="1"/>
  </cols>
  <sheetData>
    <row r="2" spans="2:9" x14ac:dyDescent="0.3">
      <c r="B2" s="3" t="s">
        <v>167</v>
      </c>
    </row>
    <row r="4" spans="2:9" x14ac:dyDescent="0.3">
      <c r="B4" s="49" t="s">
        <v>58</v>
      </c>
      <c r="C4" s="49" t="s">
        <v>59</v>
      </c>
      <c r="D4" s="49" t="s">
        <v>60</v>
      </c>
      <c r="E4" s="49" t="s">
        <v>166</v>
      </c>
      <c r="F4" s="123"/>
    </row>
    <row r="5" spans="2:9" x14ac:dyDescent="0.3">
      <c r="B5" s="50" t="s">
        <v>95</v>
      </c>
      <c r="C5" s="50" t="s">
        <v>96</v>
      </c>
      <c r="D5" s="51">
        <v>0</v>
      </c>
      <c r="E5" s="73">
        <v>4327</v>
      </c>
      <c r="F5" s="99"/>
    </row>
    <row r="6" spans="2:9" x14ac:dyDescent="0.3">
      <c r="B6" s="50" t="s">
        <v>61</v>
      </c>
      <c r="C6" s="50" t="s">
        <v>62</v>
      </c>
      <c r="D6" s="51">
        <v>3.0000000000000001E-3</v>
      </c>
      <c r="E6" s="73">
        <v>28800</v>
      </c>
      <c r="F6" s="99"/>
    </row>
    <row r="7" spans="2:9" x14ac:dyDescent="0.3">
      <c r="B7" s="50" t="s">
        <v>63</v>
      </c>
      <c r="C7" s="50" t="s">
        <v>64</v>
      </c>
      <c r="D7" s="51">
        <v>4.7E-2</v>
      </c>
      <c r="E7" s="73">
        <v>451200</v>
      </c>
      <c r="F7" s="99"/>
    </row>
    <row r="8" spans="2:9" x14ac:dyDescent="0.3">
      <c r="B8" s="50" t="s">
        <v>65</v>
      </c>
      <c r="C8" s="50" t="s">
        <v>66</v>
      </c>
      <c r="D8" s="51">
        <v>0.105</v>
      </c>
      <c r="E8" s="73">
        <v>1008000</v>
      </c>
      <c r="F8" s="99"/>
    </row>
    <row r="9" spans="2:9" x14ac:dyDescent="0.3">
      <c r="B9" s="50" t="s">
        <v>67</v>
      </c>
      <c r="C9" s="50" t="s">
        <v>68</v>
      </c>
      <c r="D9" s="51">
        <v>0.26600000000000001</v>
      </c>
      <c r="E9" s="73">
        <v>2553600</v>
      </c>
      <c r="F9" s="99"/>
    </row>
    <row r="10" spans="2:9" x14ac:dyDescent="0.3">
      <c r="B10" s="50" t="s">
        <v>69</v>
      </c>
      <c r="C10" s="50" t="s">
        <v>70</v>
      </c>
      <c r="D10" s="51">
        <v>0.59299999999999997</v>
      </c>
      <c r="E10" s="73">
        <v>5692800</v>
      </c>
      <c r="F10" s="99"/>
    </row>
    <row r="11" spans="2:9" x14ac:dyDescent="0.3">
      <c r="B11" s="50" t="s">
        <v>71</v>
      </c>
      <c r="C11" s="50" t="s">
        <v>72</v>
      </c>
      <c r="D11" s="51">
        <v>1</v>
      </c>
      <c r="E11" s="73">
        <v>9600000</v>
      </c>
      <c r="F11" s="99"/>
    </row>
    <row r="14" spans="2:9" x14ac:dyDescent="0.3">
      <c r="B14" s="3" t="s">
        <v>98</v>
      </c>
    </row>
    <row r="16" spans="2:9" x14ac:dyDescent="0.3">
      <c r="B16" s="49" t="s">
        <v>58</v>
      </c>
      <c r="C16" s="67" t="s">
        <v>59</v>
      </c>
      <c r="D16" s="49" t="s">
        <v>89</v>
      </c>
      <c r="E16" s="49" t="s">
        <v>94</v>
      </c>
      <c r="F16" s="49" t="s">
        <v>93</v>
      </c>
      <c r="G16" s="49" t="s">
        <v>92</v>
      </c>
      <c r="H16" s="49" t="s">
        <v>91</v>
      </c>
      <c r="I16" s="49" t="s">
        <v>90</v>
      </c>
    </row>
    <row r="17" spans="2:9" x14ac:dyDescent="0.3">
      <c r="B17" s="49" t="s">
        <v>95</v>
      </c>
      <c r="C17" s="67" t="s">
        <v>96</v>
      </c>
      <c r="D17" s="68">
        <v>0</v>
      </c>
      <c r="E17" s="68">
        <v>3.4369999999999998E-2</v>
      </c>
      <c r="F17" s="68">
        <v>8.3470000000000003E-2</v>
      </c>
      <c r="G17" s="68">
        <v>0.23436999999999999</v>
      </c>
      <c r="H17" s="68">
        <v>0.92534000000000005</v>
      </c>
      <c r="I17" s="68">
        <v>0.43675999999999998</v>
      </c>
    </row>
    <row r="18" spans="2:9" x14ac:dyDescent="0.3">
      <c r="B18" s="49" t="s">
        <v>61</v>
      </c>
      <c r="C18" s="50" t="s">
        <v>62</v>
      </c>
      <c r="D18" s="68">
        <v>0</v>
      </c>
      <c r="E18" s="68">
        <v>0.55449000000000004</v>
      </c>
      <c r="F18" s="68">
        <v>0.76842999999999995</v>
      </c>
      <c r="G18" s="68">
        <v>0.68945999999999996</v>
      </c>
      <c r="H18" s="68">
        <v>7.2569999999999996E-2</v>
      </c>
      <c r="I18" s="68">
        <v>0.41738999999999998</v>
      </c>
    </row>
    <row r="19" spans="2:9" x14ac:dyDescent="0.3">
      <c r="B19" s="49" t="s">
        <v>63</v>
      </c>
      <c r="C19" s="50" t="s">
        <v>64</v>
      </c>
      <c r="D19" s="68">
        <v>0</v>
      </c>
      <c r="E19" s="68">
        <v>0.20907999999999999</v>
      </c>
      <c r="F19" s="68">
        <v>0.10897999999999999</v>
      </c>
      <c r="G19" s="68">
        <v>6.3909999999999995E-2</v>
      </c>
      <c r="H19" s="68">
        <v>1.98E-3</v>
      </c>
      <c r="I19" s="68">
        <v>8.8719999999999993E-2</v>
      </c>
    </row>
    <row r="20" spans="2:9" x14ac:dyDescent="0.3">
      <c r="B20" s="49" t="s">
        <v>65</v>
      </c>
      <c r="C20" s="50" t="s">
        <v>66</v>
      </c>
      <c r="D20" s="68">
        <v>0</v>
      </c>
      <c r="E20" s="68">
        <v>0.14437</v>
      </c>
      <c r="F20" s="68">
        <v>3.1910000000000001E-2</v>
      </c>
      <c r="G20" s="68">
        <v>1.0710000000000001E-2</v>
      </c>
      <c r="H20" s="68">
        <v>8.0000000000000007E-5</v>
      </c>
      <c r="I20" s="68">
        <v>4.8169999999999998E-2</v>
      </c>
    </row>
    <row r="21" spans="2:9" x14ac:dyDescent="0.3">
      <c r="B21" s="49" t="s">
        <v>67</v>
      </c>
      <c r="C21" s="50" t="s">
        <v>68</v>
      </c>
      <c r="D21" s="68">
        <v>0</v>
      </c>
      <c r="E21" s="68">
        <v>3.986E-2</v>
      </c>
      <c r="F21" s="68">
        <v>6.1999999999999998E-3</v>
      </c>
      <c r="G21" s="68">
        <v>1.42E-3</v>
      </c>
      <c r="H21" s="68">
        <v>0</v>
      </c>
      <c r="I21" s="68">
        <v>6.1700000000000001E-3</v>
      </c>
    </row>
    <row r="22" spans="2:9" x14ac:dyDescent="0.3">
      <c r="B22" s="49" t="s">
        <v>69</v>
      </c>
      <c r="C22" s="50" t="s">
        <v>70</v>
      </c>
      <c r="D22" s="68">
        <v>0</v>
      </c>
      <c r="E22" s="68">
        <v>1.7829999999999999E-2</v>
      </c>
      <c r="F22" s="68">
        <v>1.01E-3</v>
      </c>
      <c r="G22" s="68">
        <v>1.2999999999999999E-4</v>
      </c>
      <c r="H22" s="68">
        <v>3.0000000000000001E-5</v>
      </c>
      <c r="I22" s="68">
        <v>2.7899999999999999E-3</v>
      </c>
    </row>
    <row r="23" spans="2:9" x14ac:dyDescent="0.3">
      <c r="B23" s="49" t="s">
        <v>71</v>
      </c>
      <c r="C23" s="50" t="s">
        <v>72</v>
      </c>
      <c r="D23" s="68">
        <v>1</v>
      </c>
      <c r="E23" s="68">
        <v>0</v>
      </c>
      <c r="F23" s="68">
        <v>0</v>
      </c>
      <c r="G23" s="68">
        <v>0</v>
      </c>
      <c r="H23" s="68">
        <v>0</v>
      </c>
      <c r="I23" s="68">
        <v>0</v>
      </c>
    </row>
    <row r="24" spans="2:9" x14ac:dyDescent="0.3">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4.4" x14ac:dyDescent="0.3"/>
  <cols>
    <col min="3" max="3" width="34.6640625" customWidth="1"/>
    <col min="4" max="4" width="13.6640625" customWidth="1"/>
  </cols>
  <sheetData>
    <row r="4" spans="3:4" x14ac:dyDescent="0.3">
      <c r="C4" s="126" t="s">
        <v>188</v>
      </c>
      <c r="D4" s="127" t="s">
        <v>179</v>
      </c>
    </row>
    <row r="5" spans="3:4" x14ac:dyDescent="0.3">
      <c r="C5" s="50" t="s">
        <v>182</v>
      </c>
      <c r="D5" s="125">
        <v>10</v>
      </c>
    </row>
    <row r="6" spans="3:4" x14ac:dyDescent="0.3">
      <c r="C6" s="50" t="s">
        <v>184</v>
      </c>
      <c r="D6" s="125">
        <v>10</v>
      </c>
    </row>
    <row r="7" spans="3:4" x14ac:dyDescent="0.3">
      <c r="C7" s="50" t="s">
        <v>176</v>
      </c>
      <c r="D7" s="125">
        <v>10</v>
      </c>
    </row>
    <row r="8" spans="3:4" x14ac:dyDescent="0.3">
      <c r="C8" s="64" t="s">
        <v>181</v>
      </c>
      <c r="D8" s="128">
        <v>20</v>
      </c>
    </row>
    <row r="9" spans="3:4" x14ac:dyDescent="0.3">
      <c r="C9" s="64" t="s">
        <v>185</v>
      </c>
      <c r="D9" s="128">
        <v>20</v>
      </c>
    </row>
    <row r="10" spans="3:4" x14ac:dyDescent="0.3">
      <c r="C10" s="50" t="s">
        <v>180</v>
      </c>
      <c r="D10" s="125">
        <v>30</v>
      </c>
    </row>
    <row r="11" spans="3:4" x14ac:dyDescent="0.3">
      <c r="C11" s="50" t="s">
        <v>177</v>
      </c>
      <c r="D11" s="125">
        <v>20</v>
      </c>
    </row>
    <row r="12" spans="3:4" x14ac:dyDescent="0.3">
      <c r="C12" s="50" t="s">
        <v>186</v>
      </c>
      <c r="D12" s="125">
        <v>10</v>
      </c>
    </row>
    <row r="13" spans="3:4" x14ac:dyDescent="0.3">
      <c r="C13" s="50" t="s">
        <v>178</v>
      </c>
      <c r="D13" s="125">
        <v>20</v>
      </c>
    </row>
    <row r="14" spans="3:4" x14ac:dyDescent="0.3">
      <c r="C14" s="50" t="s">
        <v>183</v>
      </c>
      <c r="D14" s="125">
        <v>20</v>
      </c>
    </row>
    <row r="15" spans="3:4" x14ac:dyDescent="0.3">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Robert McHaney</cp:lastModifiedBy>
  <cp:lastPrinted>2018-08-02T19:00:00Z</cp:lastPrinted>
  <dcterms:created xsi:type="dcterms:W3CDTF">2012-07-25T15:48:32Z</dcterms:created>
  <dcterms:modified xsi:type="dcterms:W3CDTF">2018-10-25T17:47:08Z</dcterms:modified>
</cp:coreProperties>
</file>