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EEMD - Terminal\"/>
    </mc:Choice>
  </mc:AlternateContent>
  <xr:revisionPtr revIDLastSave="0" documentId="13_ncr:1_{9D2773B4-AD9C-4376-BB17-CC4274272D65}" xr6:coauthVersionLast="37" xr6:coauthVersionMax="37" xr10:uidLastSave="{00000000-0000-0000-0000-000000000000}"/>
  <bookViews>
    <workbookView xWindow="3870" yWindow="0" windowWidth="23040"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11" l="1"/>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s="1"/>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s="1"/>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G11" i="7"/>
  <c r="H10" i="7"/>
  <c r="I10" i="7" s="1"/>
  <c r="J10" i="7" s="1"/>
  <c r="I18" i="5"/>
  <c r="H19" i="5"/>
  <c r="I19" i="5" s="1"/>
  <c r="J19" i="5"/>
  <c r="K19" i="5" s="1"/>
  <c r="G20" i="5"/>
  <c r="R12" i="12"/>
  <c r="O13" i="12"/>
  <c r="P12" i="12"/>
  <c r="M13" i="12"/>
  <c r="Q7" i="12" l="1"/>
  <c r="Q8" i="12" s="1"/>
  <c r="Q9" i="12" s="1"/>
  <c r="Q10" i="12" s="1"/>
  <c r="Q11" i="12" s="1"/>
  <c r="Q12" i="12" s="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M20" i="12"/>
  <c r="Q19" i="12" l="1"/>
  <c r="S12" i="12"/>
  <c r="T12" i="12" s="1"/>
  <c r="S13" i="12"/>
  <c r="T13" i="12" s="1"/>
  <c r="G19" i="7"/>
  <c r="H18" i="7"/>
  <c r="I18" i="7" s="1"/>
  <c r="J18" i="7" s="1"/>
  <c r="H27" i="5"/>
  <c r="I27" i="5" s="1"/>
  <c r="J27" i="5"/>
  <c r="K27" i="5" s="1"/>
  <c r="G28" i="5"/>
  <c r="R20" i="12"/>
  <c r="O21" i="12"/>
  <c r="P20" i="12"/>
  <c r="M21" i="12"/>
  <c r="Q20" i="12" l="1"/>
  <c r="S14" i="12"/>
  <c r="T14" i="12" s="1"/>
  <c r="H28" i="5"/>
  <c r="I28" i="5" s="1"/>
  <c r="J28" i="5"/>
  <c r="K28" i="5" s="1"/>
  <c r="G29" i="5"/>
  <c r="G20" i="7"/>
  <c r="H19" i="7"/>
  <c r="I19" i="7" s="1"/>
  <c r="J19" i="7" s="1"/>
  <c r="R21" i="12"/>
  <c r="O22" i="12"/>
  <c r="P21" i="12"/>
  <c r="M22" i="12"/>
  <c r="Q21" i="12" l="1"/>
  <c r="S15" i="12"/>
  <c r="T15" i="12" s="1"/>
  <c r="H20" i="7"/>
  <c r="I20" i="7" s="1"/>
  <c r="J20" i="7" s="1"/>
  <c r="G21" i="7"/>
  <c r="J29" i="5"/>
  <c r="K29" i="5" s="1"/>
  <c r="H29" i="5"/>
  <c r="R22" i="12"/>
  <c r="O23" i="12"/>
  <c r="P22" i="12"/>
  <c r="M23" i="12"/>
  <c r="Q22" i="12" l="1"/>
  <c r="S16" i="12"/>
  <c r="T16" i="12" s="1"/>
  <c r="H21" i="7"/>
  <c r="I21" i="7" s="1"/>
  <c r="J21" i="7" s="1"/>
  <c r="G22" i="7"/>
  <c r="I29" i="5"/>
  <c r="B13" i="5"/>
  <c r="R23" i="12"/>
  <c r="O24" i="12"/>
  <c r="P23" i="12"/>
  <c r="M24" i="12"/>
  <c r="Q23" i="12" l="1"/>
  <c r="S17" i="12"/>
  <c r="T17" i="12" s="1"/>
  <c r="G23" i="7"/>
  <c r="H22" i="7"/>
  <c r="I22" i="7" s="1"/>
  <c r="J22" i="7" s="1"/>
  <c r="R24" i="12"/>
  <c r="O25" i="12"/>
  <c r="P24" i="12"/>
  <c r="M25" i="12"/>
  <c r="Q24" i="12" l="1"/>
  <c r="S18" i="12"/>
  <c r="T18" i="12" s="1"/>
  <c r="G24" i="7"/>
  <c r="H23" i="7"/>
  <c r="I23" i="7"/>
  <c r="J23" i="7" s="1"/>
  <c r="R25" i="12"/>
  <c r="O26" i="12"/>
  <c r="P25" i="12"/>
  <c r="M26" i="12"/>
  <c r="Q25" i="12" l="1"/>
  <c r="S19" i="12"/>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<sst xmlns="http://schemas.openxmlformats.org/spreadsheetml/2006/main" count="365" uniqueCount="208">
  <si>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</si>
  <si>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</si>
  <si>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</si>
  <si>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</si>
  <si>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</si>
  <si>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</si>
  <si>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</si>
  <si>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</si>
  <si>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</si>
  <si>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</si>
  <si>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</si>
  <si>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</si>
  <si>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</si>
  <si>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</si>
  <si>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</si>
  <si>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</si>
  <si>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</si>
  <si>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</si>
  <si>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</si>
  <si>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</si>
  <si>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</si>
  <si>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</si>
  <si>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</si>
  <si>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</si>
  <si>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</si>
  <si>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</si>
  <si>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</si>
  <si>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</si>
  <si>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</si>
  <si>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</si>
  <si>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</si>
  <si>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</si>
  <si>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</si>
  <si>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</si>
  <si>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</si>
  <si>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</si>
  <si>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</si>
  <si>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</si>
  <si>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</si>
  <si>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</si>
  <si>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</si>
  <si>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</si>
  <si>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</si>
  <si>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</si>
  <si>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</si>
  <si>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</si>
  <si>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</si>
  <si>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</si>
  <si>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</si>
  <si>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</si>
  <si>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</si>
  <si>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</si>
  <si>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</si>
  <si>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</si>
  <si>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</si>
  <si>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</si>
  <si>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</si>
  <si>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</si>
  <si>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</si>
  <si>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</si>
  <si>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</si>
  <si>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</si>
  <si>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</si>
  <si>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</si>
  <si>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</si>
  <si>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</si>
  <si>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</si>
  <si>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</si>
  <si>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</si>
  <si>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</si>
  <si>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</si>
  <si>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</si>
  <si>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</si>
  <si>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</si>
  <si>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</si>
  <si>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</si>
  <si>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</si>
  <si>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</si>
  <si>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</si>
  <si>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</si>
  <si>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</si>
  <si>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</si>
  <si>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</si>
  <si>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</si>
  <si>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</si>
  <si>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</si>
  <si>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</si>
  <si>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</si>
  <si>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</si>
  <si>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</si>
  <si>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</si>
  <si>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</si>
  <si>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</si>
  <si>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</si>
  <si>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</si>
  <si>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</si>
  <si>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</si>
  <si>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</si>
  <si>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</si>
  <si>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</si>
  <si>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</si>
  <si>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</si>
  <si>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</si>
  <si>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</si>
  <si>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</si>
  <si>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</si>
  <si>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</si>
  <si>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</si>
  <si>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</si>
  <si>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</si>
  <si>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</si>
  <si>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</si>
  <si>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</si>
  <si>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</si>
  <si>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</si>
  <si>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</si>
  <si>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</si>
  <si>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</si>
  <si>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</si>
  <si>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</si>
  <si>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</si>
  <si>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</si>
  <si>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</si>
  <si>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</si>
  <si>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</si>
  <si>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</si>
  <si>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</si>
  <si>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</si>
  <si>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</si>
  <si>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</si>
  <si>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</si>
  <si>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</si>
  <si>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</si>
  <si>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</si>
  <si>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</si>
  <si>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</si>
  <si>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</si>
  <si>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</si>
  <si>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</si>
  <si>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</si>
  <si>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</si>
  <si>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</si>
  <si>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</si>
  <si>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</si>
  <si>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</si>
  <si>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</si>
  <si>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</si>
  <si>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</si>
  <si>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</si>
  <si>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</si>
  <si>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</si>
  <si>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</si>
  <si>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</si>
  <si>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</si>
  <si>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</si>
  <si>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</si>
  <si>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</si>
  <si>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</si>
  <si>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</si>
  <si>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</si>
  <si>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</si>
  <si>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</si>
  <si>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</si>
  <si>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</si>
  <si>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</si>
  <si>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</si>
  <si>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</si>
  <si>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</si>
  <si>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</si>
  <si>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</si>
  <si>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</si>
  <si>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</si>
  <si>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</si>
  <si>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</si>
  <si>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</si>
  <si>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</si>
  <si>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</si>
  <si>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</si>
  <si>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</si>
  <si>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</si>
  <si>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</si>
  <si>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</si>
  <si>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</si>
  <si>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</si>
  <si>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</si>
  <si>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</si>
  <si>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</si>
  <si>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</si>
  <si>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</si>
  <si>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</si>
  <si>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</si>
  <si>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</si>
  <si>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</si>
  <si>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</si>
  <si>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</si>
  <si>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</si>
  <si>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</si>
  <si>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</si>
  <si>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</si>
  <si>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</si>
  <si>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</si>
  <si>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</si>
  <si>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</si>
  <si>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Lockwood Drive</t>
  </si>
  <si>
    <t>Harrisburg and Travis/Milam</t>
  </si>
  <si>
    <t>University Blvd.</t>
  </si>
  <si>
    <t>Eastwood Intermodal Terminal Project</t>
  </si>
  <si>
    <t>Number of parking spaces provided x vehicle occupancy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</si>
</sst>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B16" zoomScale="115" zoomScaleNormal="115" workbookViewId="0">
      <selection activeCell="D22" sqref="D22"/>
    </sheetView>
  </sheetViews>
  <sheetFormatPr defaultColWidth="9.140625"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60" x14ac:dyDescent="0.25">
      <c r="B6" s="139" t="s">
        <v>155</v>
      </c>
      <c r="C6" s="104" t="s">
        <v>206</v>
      </c>
    </row>
    <row r="7" spans="2:6" x14ac:dyDescent="0.25">
      <c r="B7" s="6" t="s">
        <v>115</v>
      </c>
      <c r="C7" s="6" t="s">
        <v>116</v>
      </c>
      <c r="E7" s="6"/>
      <c r="F7" s="136" t="s">
        <v>168</v>
      </c>
    </row>
    <row r="8" spans="2:6" x14ac:dyDescent="0.25">
      <c r="B8" s="6" t="s">
        <v>124</v>
      </c>
      <c r="C8" s="6" t="s">
        <v>126</v>
      </c>
      <c r="E8" s="140"/>
      <c r="F8" s="136" t="s">
        <v>164</v>
      </c>
    </row>
    <row r="9" spans="2:6" x14ac:dyDescent="0.25">
      <c r="B9" s="6" t="s">
        <v>156</v>
      </c>
      <c r="C9" s="6" t="s">
        <v>204</v>
      </c>
      <c r="E9" s="141"/>
      <c r="F9" s="136" t="s">
        <v>187</v>
      </c>
    </row>
    <row r="10" spans="2:6" x14ac:dyDescent="0.25">
      <c r="B10" s="6" t="s">
        <v>113</v>
      </c>
      <c r="C10" s="6" t="s">
        <v>203</v>
      </c>
      <c r="E10" s="142"/>
      <c r="F10" s="136" t="s">
        <v>169</v>
      </c>
    </row>
    <row r="11" spans="2:6" x14ac:dyDescent="0.25">
      <c r="B11" s="6" t="s">
        <v>114</v>
      </c>
      <c r="C11" s="6" t="s">
        <v>205</v>
      </c>
    </row>
    <row r="12" spans="2:6" x14ac:dyDescent="0.25">
      <c r="B12" s="6" t="s">
        <v>77</v>
      </c>
      <c r="C12" s="6">
        <v>190</v>
      </c>
    </row>
    <row r="13" spans="2:6" x14ac:dyDescent="0.25">
      <c r="B13" s="6" t="s">
        <v>78</v>
      </c>
      <c r="C13" s="6"/>
    </row>
    <row r="14" spans="2:6" x14ac:dyDescent="0.25">
      <c r="B14" s="78"/>
      <c r="C14" s="78"/>
    </row>
    <row r="15" spans="2:6" x14ac:dyDescent="0.25">
      <c r="B15" s="138" t="s">
        <v>159</v>
      </c>
    </row>
    <row r="16" spans="2:6" x14ac:dyDescent="0.25">
      <c r="B16" s="6" t="s">
        <v>102</v>
      </c>
      <c r="C16" s="47">
        <v>2021</v>
      </c>
    </row>
    <row r="17" spans="2:11" ht="60" x14ac:dyDescent="0.25">
      <c r="B17" s="6" t="s">
        <v>173</v>
      </c>
      <c r="C17" s="130" t="s">
        <v>199</v>
      </c>
    </row>
    <row r="18" spans="2:11" x14ac:dyDescent="0.25">
      <c r="B18" s="141" t="s">
        <v>101</v>
      </c>
      <c r="C18" s="131">
        <f>VLOOKUP(C17,'Service Life'!C5:D15,2,FALSE)</f>
        <v>30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202</v>
      </c>
      <c r="C22" s="130">
        <f>(250*1.39)</f>
        <v>347.5</v>
      </c>
      <c r="D22" s="136" t="s">
        <v>207</v>
      </c>
      <c r="E22" s="143"/>
      <c r="F22" s="83"/>
    </row>
    <row r="23" spans="2:11" x14ac:dyDescent="0.25">
      <c r="B23" s="6" t="s">
        <v>172</v>
      </c>
      <c r="C23" s="6">
        <v>5</v>
      </c>
      <c r="E23" s="143"/>
      <c r="F23" s="83"/>
    </row>
    <row r="24" spans="2:11" x14ac:dyDescent="0.25">
      <c r="E24" s="143"/>
      <c r="F24" s="83"/>
    </row>
    <row r="25" spans="2:11" x14ac:dyDescent="0.25">
      <c r="I25" s="145"/>
      <c r="J25" s="146"/>
      <c r="K25" s="147"/>
    </row>
    <row r="26" spans="2:11" x14ac:dyDescent="0.25">
      <c r="B26" s="148" t="s">
        <v>195</v>
      </c>
      <c r="C26" s="133">
        <v>7294</v>
      </c>
      <c r="I26" s="145"/>
      <c r="J26" s="146"/>
      <c r="K26" s="147"/>
    </row>
    <row r="27" spans="2:11" x14ac:dyDescent="0.25">
      <c r="B27" s="148" t="s">
        <v>196</v>
      </c>
      <c r="C27" s="133">
        <v>17063</v>
      </c>
      <c r="I27" s="145"/>
      <c r="J27" s="146"/>
      <c r="K27" s="147"/>
    </row>
    <row r="28" spans="2:11" x14ac:dyDescent="0.25">
      <c r="B28" s="148" t="s">
        <v>200</v>
      </c>
      <c r="C28" s="133">
        <v>8244</v>
      </c>
      <c r="I28" s="145"/>
      <c r="J28" s="146"/>
      <c r="K28" s="147"/>
    </row>
    <row r="29" spans="2:11" x14ac:dyDescent="0.25">
      <c r="B29" s="148" t="s">
        <v>197</v>
      </c>
      <c r="C29" s="133">
        <v>17063</v>
      </c>
      <c r="I29" s="145"/>
      <c r="J29" s="146"/>
      <c r="K29" s="147"/>
    </row>
    <row r="30" spans="2:11" x14ac:dyDescent="0.25">
      <c r="B30" s="148" t="s">
        <v>201</v>
      </c>
      <c r="C30" s="133">
        <v>9411</v>
      </c>
      <c r="F30" s="149"/>
      <c r="H30" s="149"/>
      <c r="J30" s="146"/>
      <c r="K30" s="147"/>
    </row>
    <row r="31" spans="2:11" x14ac:dyDescent="0.25">
      <c r="B31" s="148" t="s">
        <v>198</v>
      </c>
      <c r="C31" s="133">
        <v>17063</v>
      </c>
      <c r="K31" s="147"/>
    </row>
    <row r="33" spans="2:9" ht="18.75" x14ac:dyDescent="0.3">
      <c r="B33" s="134" t="s">
        <v>88</v>
      </c>
      <c r="C33" s="135"/>
      <c r="D33" s="135"/>
      <c r="E33" s="135"/>
      <c r="F33" s="135"/>
      <c r="I33" s="149"/>
    </row>
    <row r="35" spans="2:9" x14ac:dyDescent="0.25">
      <c r="B35" s="150" t="s">
        <v>86</v>
      </c>
    </row>
    <row r="36" spans="2:9" x14ac:dyDescent="0.25">
      <c r="B36" s="142" t="s">
        <v>112</v>
      </c>
      <c r="C36" s="153">
        <f>Calculations!T37</f>
        <v>4159.8277576757764</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250.00000000000003</v>
      </c>
      <c r="G4" s="157" t="s">
        <v>170</v>
      </c>
      <c r="H4" s="157"/>
      <c r="I4" s="157"/>
      <c r="J4" s="116">
        <f>SUMPRODUCT(Possible_Crash_Reductions,'Value of Statistical Life'!E5:E11)</f>
        <v>346495.00508915732</v>
      </c>
      <c r="M4" s="60">
        <v>2018</v>
      </c>
      <c r="N4" s="61" t="s">
        <v>85</v>
      </c>
      <c r="O4" s="62">
        <f>MIN(B13,1)</f>
        <v>0.42747465275742835</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30</v>
      </c>
      <c r="D5" s="101" t="s">
        <v>161</v>
      </c>
      <c r="E5" s="100">
        <f>($E$4*'Inputs &amp; Outputs'!$C$23)*2</f>
        <v>2500.0000000000005</v>
      </c>
      <c r="M5" s="13">
        <f t="shared" ref="M5:M36" si="1">M4+1</f>
        <v>2019</v>
      </c>
      <c r="N5" s="53">
        <f t="shared" ref="N5:N11" si="2">IF(ISERROR(_2025_2045_Demand_Growth),_2018_2045_Demand_Growth,_2018_2025_Demand_Growth)</f>
        <v>1.7644364753208963E-2</v>
      </c>
      <c r="O5" s="55">
        <f t="shared" ref="O5:O11" si="3">O4*(1+IFERROR(_2018_2025_V_C_Growth,_2018_2045_V_C_Growth))</f>
        <v>0.43501717145343177</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25">
      <c r="A6" s="16" t="s">
        <v>4</v>
      </c>
      <c r="B6" s="16">
        <v>1.39</v>
      </c>
      <c r="D6" s="101" t="s">
        <v>162</v>
      </c>
      <c r="E6" s="100">
        <f>$E$5*$B$7</f>
        <v>650000.00000000012</v>
      </c>
      <c r="M6" s="60">
        <f t="shared" si="1"/>
        <v>2020</v>
      </c>
      <c r="N6" s="53">
        <f t="shared" si="2"/>
        <v>1.7644364753208963E-2</v>
      </c>
      <c r="O6" s="55">
        <f t="shared" si="3"/>
        <v>0.44269277310046534</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25">
      <c r="A7" s="16" t="s">
        <v>174</v>
      </c>
      <c r="B7" s="16">
        <v>260</v>
      </c>
      <c r="M7" s="13">
        <f t="shared" si="1"/>
        <v>2021</v>
      </c>
      <c r="N7" s="53">
        <f t="shared" si="2"/>
        <v>1.7644364753208963E-2</v>
      </c>
      <c r="O7" s="55">
        <f t="shared" si="3"/>
        <v>0.45050380586265953</v>
      </c>
      <c r="P7" s="58">
        <f t="shared" si="4"/>
        <v>1</v>
      </c>
      <c r="Q7" s="119">
        <f>IF(M7=Year_Open_to_Traffic?,Calculations!$J$4,Calculations!Q6+Calculations!Q6*Calculations!N7*P7)</f>
        <v>346495.00508915732</v>
      </c>
      <c r="R7" s="66">
        <f t="shared" si="0"/>
        <v>1</v>
      </c>
      <c r="S7" s="119">
        <f t="shared" si="5"/>
        <v>346.4950050891573</v>
      </c>
      <c r="T7" s="40">
        <f>S7/(1+'Assumed Values'!$C$6)^(Calculations!M7-'Assumed Values'!$C$5)</f>
        <v>282.84313700756405</v>
      </c>
    </row>
    <row r="8" spans="1:20" x14ac:dyDescent="0.25">
      <c r="M8" s="60">
        <f t="shared" si="1"/>
        <v>2022</v>
      </c>
      <c r="N8" s="53">
        <f t="shared" si="2"/>
        <v>1.7644364753208963E-2</v>
      </c>
      <c r="O8" s="55">
        <f t="shared" si="3"/>
        <v>0.45845265933600915</v>
      </c>
      <c r="P8" s="58">
        <f t="shared" si="4"/>
        <v>1</v>
      </c>
      <c r="Q8" s="119">
        <f>IF(M8=Year_Open_to_Traffic?,Calculations!$J$4,Calculations!Q7+Calculations!Q7*Calculations!N8*P8)</f>
        <v>352608.68934411538</v>
      </c>
      <c r="R8" s="66">
        <f t="shared" si="0"/>
        <v>1</v>
      </c>
      <c r="S8" s="119">
        <f t="shared" si="5"/>
        <v>352.60868934411536</v>
      </c>
      <c r="T8" s="40">
        <f>S8/(1+'Assumed Values'!$C$6)^(Calculations!M8-'Assumed Values'!$C$5)</f>
        <v>269.00348082697883</v>
      </c>
    </row>
    <row r="9" spans="1:20" x14ac:dyDescent="0.25">
      <c r="A9" s="105" t="s">
        <v>15</v>
      </c>
      <c r="B9" s="90"/>
      <c r="D9" s="108" t="s">
        <v>139</v>
      </c>
      <c r="E9" s="82"/>
      <c r="F9" s="87"/>
      <c r="M9" s="13">
        <f t="shared" si="1"/>
        <v>2023</v>
      </c>
      <c r="N9" s="53">
        <f t="shared" si="2"/>
        <v>1.7644364753208963E-2</v>
      </c>
      <c r="O9" s="55">
        <f t="shared" si="3"/>
        <v>0.46654176527941232</v>
      </c>
      <c r="P9" s="58">
        <f t="shared" si="4"/>
        <v>1</v>
      </c>
      <c r="Q9" s="119">
        <f>IF(M9=Year_Open_to_Traffic?,Calculations!$J$4,Calculations!Q8+Calculations!Q8*Calculations!N9*P9)</f>
        <v>358830.24567405391</v>
      </c>
      <c r="R9" s="66">
        <f t="shared" si="0"/>
        <v>1</v>
      </c>
      <c r="S9" s="119">
        <f t="shared" si="5"/>
        <v>358.83024567405391</v>
      </c>
      <c r="T9" s="40">
        <f>S9/(1+'Assumed Values'!$C$6)^(Calculations!M9-'Assumed Values'!$C$5)</f>
        <v>255.8410059463298</v>
      </c>
    </row>
    <row r="10" spans="1:20" x14ac:dyDescent="0.25">
      <c r="A10" s="16" t="s">
        <v>76</v>
      </c>
      <c r="B10" s="43">
        <f>(_2025_Volume/'Inputs &amp; Outputs'!C26)^(1/(2025-2018))-1</f>
        <v>1.7644364753208963E-2</v>
      </c>
      <c r="D10" s="64" t="s">
        <v>133</v>
      </c>
      <c r="E10" s="100">
        <f>IF('Inputs &amp; Outputs'!$C$8='CRASH RATES'!$D$3, VLOOKUP('Inputs &amp; Outputs'!$C$7,'CRASH RATES'!$C$14:$J$21,3,FALSE), VLOOKUP('Inputs &amp; Outputs'!$C$7,'CRASH RATES'!$C$28:$J$35,3,FALSE))</f>
        <v>1.7455741549787349</v>
      </c>
      <c r="F10" s="83"/>
      <c r="M10" s="60">
        <f t="shared" si="1"/>
        <v>2024</v>
      </c>
      <c r="N10" s="53">
        <f t="shared" si="2"/>
        <v>1.7644364753208963E-2</v>
      </c>
      <c r="O10" s="55">
        <f t="shared" si="3"/>
        <v>0.47477359835860827</v>
      </c>
      <c r="P10" s="58">
        <f t="shared" si="4"/>
        <v>1</v>
      </c>
      <c r="Q10" s="119">
        <f>IF(M10=Year_Open_to_Traffic?,Calculations!$J$4,Calculations!Q9+Calculations!Q9*Calculations!N10*P10)</f>
        <v>365161.57741321047</v>
      </c>
      <c r="R10" s="66">
        <f t="shared" si="0"/>
        <v>1</v>
      </c>
      <c r="S10" s="119">
        <f t="shared" si="5"/>
        <v>365.16157741321047</v>
      </c>
      <c r="T10" s="40">
        <f>S10/(1+'Assumed Values'!$C$6)^(Calculations!M10-'Assumed Values'!$C$5)</f>
        <v>243.32257754586425</v>
      </c>
    </row>
    <row r="11" spans="1:20" x14ac:dyDescent="0.25">
      <c r="A11" s="16" t="s">
        <v>105</v>
      </c>
      <c r="B11" s="43">
        <f>(_2045_Volume/_2025_Volume)^(1/(2045-2025))-1</f>
        <v>6.6416362351036096E-3</v>
      </c>
      <c r="D11" s="64" t="s">
        <v>134</v>
      </c>
      <c r="E11" s="100">
        <f>IF('Inputs &amp; Outputs'!$C$8='CRASH RATES'!$D$3, VLOOKUP('Inputs &amp; Outputs'!$C$7,'CRASH RATES'!$C$14:$J$21,4,FALSE), VLOOKUP('Inputs &amp; Outputs'!$C$7,'CRASH RATES'!$C$28:$J$35,4,FALSE))</f>
        <v>8.8235958091989612</v>
      </c>
      <c r="F11" s="83"/>
      <c r="M11" s="13">
        <f t="shared" si="1"/>
        <v>2025</v>
      </c>
      <c r="N11" s="53">
        <f t="shared" si="2"/>
        <v>1.7644364753208963E-2</v>
      </c>
      <c r="O11" s="55">
        <f t="shared" si="3"/>
        <v>0.48315067690324109</v>
      </c>
      <c r="P11" s="58">
        <f t="shared" si="4"/>
        <v>1</v>
      </c>
      <c r="Q11" s="119">
        <f>IF(M11=Year_Open_to_Traffic?,Calculations!$J$4,Calculations!Q10+Calculations!Q10*Calculations!N11*P11)</f>
        <v>371604.6214789463</v>
      </c>
      <c r="R11" s="66">
        <f t="shared" si="0"/>
        <v>1</v>
      </c>
      <c r="S11" s="119">
        <f t="shared" si="5"/>
        <v>371.60462147894629</v>
      </c>
      <c r="T11" s="40">
        <f>S11/(1+'Assumed Values'!$C$6)^(Calculations!M11-'Assumed Values'!$C$5)</f>
        <v>231.41668210913497</v>
      </c>
    </row>
    <row r="12" spans="1:20" x14ac:dyDescent="0.25">
      <c r="A12" s="16" t="s">
        <v>106</v>
      </c>
      <c r="B12" s="43">
        <f>(_2045_Volume/'Inputs &amp; Outputs'!C26)^(1/(2045-2018))-1</f>
        <v>9.4827204496374939E-3</v>
      </c>
      <c r="D12" s="64" t="s">
        <v>135</v>
      </c>
      <c r="E12" s="100">
        <f>IF('Inputs &amp; Outputs'!$C$8='CRASH RATES'!$D$3, VLOOKUP('Inputs &amp; Outputs'!$C$7,'CRASH RATES'!$C$14:$J$21,5,FALSE), VLOOKUP('Inputs &amp; Outputs'!$C$7,'CRASH RATES'!$C$28:$J$35,5,FALSE))</f>
        <v>49.782648723119337</v>
      </c>
      <c r="F12" s="83"/>
      <c r="M12" s="60">
        <f t="shared" si="1"/>
        <v>2026</v>
      </c>
      <c r="N12" s="53">
        <f t="shared" ref="N12:N36" si="6">IFERROR(_2025_2045_Demand_Growth,_2018_2045_Demand_Growth)</f>
        <v>6.6416362351036096E-3</v>
      </c>
      <c r="O12" s="55">
        <f t="shared" ref="O12:O36" si="7">O11*(1+IFERROR(_2025_2040_V_C_Growth,_2018_2045_V_C_Growth))</f>
        <v>0.4863595879459765</v>
      </c>
      <c r="P12" s="58">
        <f t="shared" si="4"/>
        <v>1</v>
      </c>
      <c r="Q12" s="119">
        <f>IF(M12=Year_Open_to_Traffic?,Calculations!$J$4,Calculations!Q11+Calculations!Q11*Calculations!N12*P12)</f>
        <v>374072.68419809284</v>
      </c>
      <c r="R12" s="66">
        <f t="shared" si="0"/>
        <v>1</v>
      </c>
      <c r="S12" s="119">
        <f t="shared" si="5"/>
        <v>374.07268419809282</v>
      </c>
      <c r="T12" s="40">
        <f>S12/(1+'Assumed Values'!$C$6)^(Calculations!M12-'Assumed Values'!$C$5)</f>
        <v>217.71370797237239</v>
      </c>
    </row>
    <row r="13" spans="1:20" x14ac:dyDescent="0.25">
      <c r="A13" s="16" t="s">
        <v>75</v>
      </c>
      <c r="B13" s="21">
        <f>'Inputs &amp; Outputs'!C26/_2018_Capacity</f>
        <v>0.42747465275742835</v>
      </c>
      <c r="D13" s="64" t="s">
        <v>136</v>
      </c>
      <c r="E13" s="100">
        <f>IF('Inputs &amp; Outputs'!$C$8='CRASH RATES'!$D$3, VLOOKUP('Inputs &amp; Outputs'!$C$7,'CRASH RATES'!$C$14:$J$21,6,FALSE), VLOOKUP('Inputs &amp; Outputs'!$C$7,'CRASH RATES'!$C$28:$J$35,6,FALSE))</f>
        <v>124.27924895011503</v>
      </c>
      <c r="F13" s="83"/>
      <c r="M13" s="13">
        <f t="shared" si="1"/>
        <v>2027</v>
      </c>
      <c r="N13" s="53">
        <f t="shared" si="6"/>
        <v>6.6416362351036096E-3</v>
      </c>
      <c r="O13" s="55">
        <f t="shared" si="7"/>
        <v>0.48958981140856855</v>
      </c>
      <c r="P13" s="58">
        <f t="shared" si="4"/>
        <v>1</v>
      </c>
      <c r="Q13" s="119">
        <f>IF(M13=Year_Open_to_Traffic?,Calculations!$J$4,Calculations!Q12+Calculations!Q12*Calculations!N13*P13)</f>
        <v>376557.13889202534</v>
      </c>
      <c r="R13" s="66">
        <f t="shared" si="0"/>
        <v>1</v>
      </c>
      <c r="S13" s="119">
        <f t="shared" si="5"/>
        <v>376.55713889202536</v>
      </c>
      <c r="T13" s="40">
        <f>S13/(1+'Assumed Values'!$C$6)^(Calculations!M13-'Assumed Values'!$C$5)</f>
        <v>204.8221338543182</v>
      </c>
    </row>
    <row r="14" spans="1:20" x14ac:dyDescent="0.25">
      <c r="A14" s="16" t="s">
        <v>74</v>
      </c>
      <c r="B14" s="21">
        <f>_2025_Volume/_2025_Capacity</f>
        <v>0.48315067690324093</v>
      </c>
      <c r="D14" s="64" t="s">
        <v>137</v>
      </c>
      <c r="E14" s="100">
        <f>IF('Inputs &amp; Outputs'!$C$8='CRASH RATES'!$D$3, VLOOKUP('Inputs &amp; Outputs'!$C$7,'CRASH RATES'!$C$14:$J$21,7,FALSE), VLOOKUP('Inputs &amp; Outputs'!$C$7,'CRASH RATES'!$C$28:$J$35,7,FALSE))</f>
        <v>963.65828946693784</v>
      </c>
      <c r="F14" s="83"/>
      <c r="M14" s="60">
        <f>M13+1</f>
        <v>2028</v>
      </c>
      <c r="N14" s="53">
        <f t="shared" si="6"/>
        <v>6.6416362351036096E-3</v>
      </c>
      <c r="O14" s="55">
        <f>O13*(1+IFERROR(_2025_2040_V_C_Growth,_2018_2045_V_C_Growth))</f>
        <v>0.49284148884035722</v>
      </c>
      <c r="P14" s="58">
        <f t="shared" si="4"/>
        <v>1</v>
      </c>
      <c r="Q14" s="119">
        <f>IF(M14=Year_Open_to_Traffic?,Calculations!$J$4,Calculations!Q13+Calculations!Q13*Calculations!N14*P14)</f>
        <v>379058.09443027753</v>
      </c>
      <c r="R14" s="66">
        <f t="shared" si="0"/>
        <v>1</v>
      </c>
      <c r="S14" s="119">
        <f t="shared" si="5"/>
        <v>379.05809443027755</v>
      </c>
      <c r="T14" s="40">
        <f>S14/(1+'Assumed Values'!$C$6)^(Calculations!M14-'Assumed Values'!$C$5)</f>
        <v>192.6939139815666</v>
      </c>
    </row>
    <row r="15" spans="1:20" x14ac:dyDescent="0.25">
      <c r="A15" s="16" t="s">
        <v>140</v>
      </c>
      <c r="B15" s="21">
        <f>_2045_Volume/_2045_Capacity</f>
        <v>0.55154427709078124</v>
      </c>
      <c r="D15" s="64" t="s">
        <v>138</v>
      </c>
      <c r="E15" s="100">
        <f>IF('Inputs &amp; Outputs'!$C$8='CRASH RATES'!$D$3, VLOOKUP('Inputs &amp; Outputs'!$C$7,'CRASH RATES'!$C$14:$J$21,8,FALSE), VLOOKUP('Inputs &amp; Outputs'!$C$7,'CRASH RATES'!$C$28:$J$35,8,FALSE))</f>
        <v>83.618632907852302</v>
      </c>
      <c r="F15" s="83"/>
      <c r="M15" s="13">
        <f>M14+1</f>
        <v>2029</v>
      </c>
      <c r="N15" s="53">
        <f t="shared" si="6"/>
        <v>6.6416362351036096E-3</v>
      </c>
      <c r="O15" s="55">
        <f>O14*(1+IFERROR(_2025_2040_V_C_Growth,_2018_2045_V_C_Growth))</f>
        <v>0.49611476273080174</v>
      </c>
      <c r="P15" s="58">
        <f t="shared" si="4"/>
        <v>1</v>
      </c>
      <c r="Q15" s="119">
        <f>IF(M15=Year_Open_to_Traffic?,Calculations!$J$4,Calculations!Q14+Calculations!Q14*Calculations!N15*P15)</f>
        <v>381575.66040545498</v>
      </c>
      <c r="R15" s="66">
        <f t="shared" si="0"/>
        <v>1</v>
      </c>
      <c r="S15" s="119">
        <f t="shared" si="5"/>
        <v>381.57566040545498</v>
      </c>
      <c r="T15" s="40">
        <f>S15/(1+'Assumed Values'!$C$6)^(Calculations!M15-'Assumed Values'!$C$5)</f>
        <v>181.28384753546774</v>
      </c>
    </row>
    <row r="16" spans="1:20" x14ac:dyDescent="0.25">
      <c r="A16" s="16" t="s">
        <v>80</v>
      </c>
      <c r="B16" s="43">
        <f>(B14/B13)^(1/(2025-2018))-1</f>
        <v>1.7644364753208963E-2</v>
      </c>
      <c r="M16" s="60">
        <f t="shared" si="1"/>
        <v>2030</v>
      </c>
      <c r="N16" s="53">
        <f t="shared" si="6"/>
        <v>6.6416362351036096E-3</v>
      </c>
      <c r="O16" s="55">
        <f t="shared" si="7"/>
        <v>0.49940977651572444</v>
      </c>
      <c r="P16" s="58">
        <f t="shared" si="4"/>
        <v>1</v>
      </c>
      <c r="Q16" s="119">
        <f>IF(M16=Year_Open_to_Traffic?,Calculations!$J$4,Calculations!Q15+Calculations!Q15*Calculations!N16*P16)</f>
        <v>384109.94713803742</v>
      </c>
      <c r="R16" s="66">
        <f t="shared" si="0"/>
        <v>1</v>
      </c>
      <c r="S16" s="119">
        <f t="shared" si="5"/>
        <v>384.1099471380374</v>
      </c>
      <c r="T16" s="40">
        <f>S16/(1+'Assumed Values'!$C$6)^(Calculations!M16-'Assumed Values'!$C$5)</f>
        <v>170.54941019261526</v>
      </c>
    </row>
    <row r="17" spans="1:20" x14ac:dyDescent="0.25">
      <c r="A17" s="16" t="s">
        <v>107</v>
      </c>
      <c r="B17" s="43">
        <f>(B15/B14)^(1/(2045-2025))-1</f>
        <v>6.6416362351036096E-3</v>
      </c>
      <c r="M17" s="13">
        <f t="shared" si="1"/>
        <v>2031</v>
      </c>
      <c r="N17" s="53">
        <f t="shared" si="6"/>
        <v>6.6416362351036096E-3</v>
      </c>
      <c r="O17" s="55">
        <f t="shared" si="7"/>
        <v>0.50272667458359621</v>
      </c>
      <c r="P17" s="58">
        <f t="shared" si="4"/>
        <v>1</v>
      </c>
      <c r="Q17" s="119">
        <f>IF(M17=Year_Open_to_Traffic?,Calculations!$J$4,Calculations!Q16+Calculations!Q16*Calculations!N17*P17)</f>
        <v>386661.06568121316</v>
      </c>
      <c r="R17" s="66">
        <f t="shared" si="0"/>
        <v>1</v>
      </c>
      <c r="S17" s="119">
        <f t="shared" si="5"/>
        <v>386.66106568121319</v>
      </c>
      <c r="T17" s="40">
        <f>S17/(1+'Assumed Values'!$C$6)^(Calculations!M17-'Assumed Values'!$C$5)</f>
        <v>160.45059564039821</v>
      </c>
    </row>
    <row r="18" spans="1:20" x14ac:dyDescent="0.25">
      <c r="A18" s="16" t="s">
        <v>108</v>
      </c>
      <c r="B18" s="43">
        <f>(B15/B13)^(1/(2045-2018))-1</f>
        <v>9.4827204496374939E-3</v>
      </c>
      <c r="D18" s="109" t="s">
        <v>175</v>
      </c>
      <c r="E18" s="82"/>
      <c r="M18" s="60">
        <f t="shared" si="1"/>
        <v>2032</v>
      </c>
      <c r="N18" s="53">
        <f t="shared" si="6"/>
        <v>6.6416362351036096E-3</v>
      </c>
      <c r="O18" s="55">
        <f t="shared" si="7"/>
        <v>0.50606560228186381</v>
      </c>
      <c r="P18" s="58">
        <f t="shared" si="4"/>
        <v>1</v>
      </c>
      <c r="Q18" s="119">
        <f>IF(M18=Year_Open_to_Traffic?,Calculations!$J$4,Calculations!Q17+Calculations!Q17*Calculations!N18*P18)</f>
        <v>389229.12782574526</v>
      </c>
      <c r="R18" s="66">
        <f t="shared" si="0"/>
        <v>1</v>
      </c>
      <c r="S18" s="119">
        <f t="shared" si="5"/>
        <v>389.22912782574525</v>
      </c>
      <c r="T18" s="40">
        <f>S18/(1+'Assumed Values'!$C$6)^(Calculations!M18-'Assumed Values'!$C$5)</f>
        <v>150.94976647696021</v>
      </c>
    </row>
    <row r="19" spans="1:20" x14ac:dyDescent="0.25">
      <c r="D19" s="64" t="s">
        <v>89</v>
      </c>
      <c r="E19" s="106">
        <f>(Calculations!$E$6*Death_Rate)/100000000</f>
        <v>1.1346232007361779E-2</v>
      </c>
      <c r="M19" s="13">
        <f t="shared" si="1"/>
        <v>2033</v>
      </c>
      <c r="N19" s="53">
        <f t="shared" si="6"/>
        <v>6.6416362351036096E-3</v>
      </c>
      <c r="O19" s="55">
        <f t="shared" si="7"/>
        <v>0.50942670592331862</v>
      </c>
      <c r="P19" s="58">
        <f t="shared" si="4"/>
        <v>1</v>
      </c>
      <c r="Q19" s="119">
        <f>IF(M19=Year_Open_to_Traffic?,Calculations!$J$4,Calculations!Q18+Calculations!Q18*Calculations!N19*P19)</f>
        <v>391814.24610487052</v>
      </c>
      <c r="R19" s="66">
        <f t="shared" si="0"/>
        <v>1</v>
      </c>
      <c r="S19" s="119">
        <f t="shared" si="5"/>
        <v>391.81424610487051</v>
      </c>
      <c r="T19" s="40">
        <f>S19/(1+'Assumed Values'!$C$6)^(Calculations!M19-'Assumed Values'!$C$5)</f>
        <v>142.01151393988224</v>
      </c>
    </row>
    <row r="20" spans="1:20" x14ac:dyDescent="0.25">
      <c r="D20" s="64" t="s">
        <v>94</v>
      </c>
      <c r="E20" s="106">
        <f>(Calculations!$E$6*Incap_Injry_Rate)/100000000</f>
        <v>5.7353372759793263E-2</v>
      </c>
      <c r="M20" s="60">
        <f t="shared" si="1"/>
        <v>2034</v>
      </c>
      <c r="N20" s="53">
        <f t="shared" si="6"/>
        <v>6.6416362351036096E-3</v>
      </c>
      <c r="O20" s="55">
        <f t="shared" si="7"/>
        <v>0.51281013279250842</v>
      </c>
      <c r="P20" s="58">
        <f t="shared" si="4"/>
        <v>1</v>
      </c>
      <c r="Q20" s="119">
        <f>IF(M20=Year_Open_to_Traffic?,Calculations!$J$4,Calculations!Q19+Calculations!Q19*Calculations!N20*P20)</f>
        <v>394416.53379923041</v>
      </c>
      <c r="R20" s="66">
        <f t="shared" si="0"/>
        <v>1</v>
      </c>
      <c r="S20" s="119">
        <f t="shared" si="5"/>
        <v>394.41653379923042</v>
      </c>
      <c r="T20" s="40">
        <f>S20/(1+'Assumed Values'!$C$6)^(Calculations!M20-'Assumed Values'!$C$5)</f>
        <v>133.60252594081058</v>
      </c>
    </row>
    <row r="21" spans="1:20" x14ac:dyDescent="0.25">
      <c r="D21" s="64" t="s">
        <v>93</v>
      </c>
      <c r="E21" s="106">
        <f>(Calculations!$E$6*Nonincap_Injry_Rate)/100000000</f>
        <v>0.32358721670027574</v>
      </c>
      <c r="M21" s="13">
        <f>M20+1</f>
        <v>2035</v>
      </c>
      <c r="N21" s="53">
        <f t="shared" si="6"/>
        <v>6.6416362351036096E-3</v>
      </c>
      <c r="O21" s="55">
        <f>O20*(1+IFERROR(_2025_2040_V_C_Growth,_2018_2045_V_C_Growth))</f>
        <v>0.51621603115219139</v>
      </c>
      <c r="P21" s="58">
        <f t="shared" si="4"/>
        <v>1</v>
      </c>
      <c r="Q21" s="119">
        <f>IF(M21=Year_Open_to_Traffic?,Calculations!$J$4,Calculations!Q20+Calculations!Q20*Calculations!N21*P21)</f>
        <v>397036.10494183534</v>
      </c>
      <c r="R21" s="66">
        <f t="shared" si="0"/>
        <v>1</v>
      </c>
      <c r="S21" s="119">
        <f t="shared" si="5"/>
        <v>397.03610494183533</v>
      </c>
      <c r="T21" s="40">
        <f>S21/(1+'Assumed Values'!$C$6)^(Calculations!M21-'Assumed Values'!$C$5)</f>
        <v>125.691462914206</v>
      </c>
    </row>
    <row r="22" spans="1:20" x14ac:dyDescent="0.25">
      <c r="D22" s="64" t="s">
        <v>92</v>
      </c>
      <c r="E22" s="106">
        <f>(Calculations!$E$6*Poss_Injry_Rate)/100000000</f>
        <v>0.8078151181757478</v>
      </c>
      <c r="M22" s="60">
        <f>M21+1</f>
        <v>2036</v>
      </c>
      <c r="N22" s="53">
        <f t="shared" si="6"/>
        <v>6.6416362351036096E-3</v>
      </c>
      <c r="O22" s="55">
        <f t="shared" si="7"/>
        <v>0.51964455024983314</v>
      </c>
      <c r="P22" s="58">
        <f t="shared" si="4"/>
        <v>1</v>
      </c>
      <c r="Q22" s="119">
        <f>IF(M22=Year_Open_to_Traffic?,Calculations!$J$4,Calculations!Q21+Calculations!Q21*Calculations!N22*P22)</f>
        <v>399673.07432306145</v>
      </c>
      <c r="R22" s="66">
        <f t="shared" si="0"/>
        <v>1</v>
      </c>
      <c r="S22" s="119">
        <f t="shared" si="5"/>
        <v>399.67307432306143</v>
      </c>
      <c r="T22" s="40">
        <f>S22/(1+'Assumed Values'!$C$6)^(Calculations!M22-'Assumed Values'!$C$5)</f>
        <v>118.24884101751417</v>
      </c>
    </row>
    <row r="23" spans="1:20" x14ac:dyDescent="0.25">
      <c r="D23" s="64" t="s">
        <v>91</v>
      </c>
      <c r="E23" s="106">
        <f>(Calculations!$E$6*Non_Injry_Rate)/100000000</f>
        <v>6.2637788815350977</v>
      </c>
      <c r="M23" s="13">
        <f t="shared" si="1"/>
        <v>2037</v>
      </c>
      <c r="N23" s="53">
        <f t="shared" si="6"/>
        <v>6.6416362351036096E-3</v>
      </c>
      <c r="O23" s="55">
        <f t="shared" si="7"/>
        <v>0.52309584032414658</v>
      </c>
      <c r="P23" s="58">
        <f t="shared" si="4"/>
        <v>1</v>
      </c>
      <c r="Q23" s="119">
        <f>IF(M23=Year_Open_to_Traffic?,Calculations!$J$4,Calculations!Q22+Calculations!Q22*Calculations!N23*P23)</f>
        <v>402327.55749568075</v>
      </c>
      <c r="R23" s="66">
        <f t="shared" si="0"/>
        <v>1</v>
      </c>
      <c r="S23" s="119">
        <f t="shared" si="5"/>
        <v>402.32755749568076</v>
      </c>
      <c r="T23" s="40">
        <f>S23/(1+'Assumed Values'!$C$6)^(Calculations!M23-'Assumed Values'!$C$5)</f>
        <v>111.24692224745337</v>
      </c>
    </row>
    <row r="24" spans="1:20" x14ac:dyDescent="0.25">
      <c r="D24" s="64" t="s">
        <v>90</v>
      </c>
      <c r="E24" s="106">
        <f>(Calculations!$E$6*Unkn_Injry_Rate)/100000000</f>
        <v>0.54352111390104008</v>
      </c>
      <c r="M24" s="60">
        <f t="shared" si="1"/>
        <v>2038</v>
      </c>
      <c r="N24" s="53">
        <f t="shared" si="6"/>
        <v>6.6416362351036096E-3</v>
      </c>
      <c r="O24" s="55">
        <f t="shared" si="7"/>
        <v>0.52657005261167544</v>
      </c>
      <c r="P24" s="58">
        <f t="shared" si="4"/>
        <v>1</v>
      </c>
      <c r="Q24" s="119">
        <f>IF(M24=Year_Open_to_Traffic?,Calculations!$J$4,Calculations!Q23+Calculations!Q23*Calculations!N24*P24)</f>
        <v>404999.67077992478</v>
      </c>
      <c r="R24" s="66">
        <f t="shared" si="0"/>
        <v>1</v>
      </c>
      <c r="S24" s="119">
        <f t="shared" si="5"/>
        <v>404.99967077992477</v>
      </c>
      <c r="T24" s="40">
        <f>S24/(1+'Assumed Values'!$C$6)^(Calculations!M24-'Assumed Values'!$C$5)</f>
        <v>104.65961106289328</v>
      </c>
    </row>
    <row r="25" spans="1:20" x14ac:dyDescent="0.25">
      <c r="M25" s="13">
        <f t="shared" si="1"/>
        <v>2039</v>
      </c>
      <c r="N25" s="53">
        <f t="shared" si="6"/>
        <v>6.6416362351036096E-3</v>
      </c>
      <c r="O25" s="55">
        <f t="shared" si="7"/>
        <v>0.53006733935342154</v>
      </c>
      <c r="P25" s="58">
        <f t="shared" si="4"/>
        <v>1</v>
      </c>
      <c r="Q25" s="119">
        <f>IF(M25=Year_Open_to_Traffic?,Calculations!$J$4,Calculations!Q24+Calculations!Q24*Calculations!N25*P25)</f>
        <v>407689.53126858175</v>
      </c>
      <c r="R25" s="66">
        <f t="shared" si="0"/>
        <v>1</v>
      </c>
      <c r="S25" s="119">
        <f t="shared" si="5"/>
        <v>407.68953126858173</v>
      </c>
      <c r="T25" s="40">
        <f>S25/(1+'Assumed Values'!$C$6)^(Calculations!M25-'Assumed Values'!$C$5)</f>
        <v>98.462357129047135</v>
      </c>
    </row>
    <row r="26" spans="1:20" x14ac:dyDescent="0.25">
      <c r="A26" s="117" t="s">
        <v>99</v>
      </c>
      <c r="B26" s="117"/>
      <c r="D26" s="110" t="s">
        <v>89</v>
      </c>
      <c r="E26" s="110" t="s">
        <v>94</v>
      </c>
      <c r="F26" s="110" t="s">
        <v>93</v>
      </c>
      <c r="G26" s="110" t="s">
        <v>92</v>
      </c>
      <c r="H26" s="110" t="s">
        <v>91</v>
      </c>
      <c r="I26" s="110" t="s">
        <v>90</v>
      </c>
      <c r="J26" s="118" t="s">
        <v>100</v>
      </c>
      <c r="M26" s="60">
        <f t="shared" si="1"/>
        <v>2040</v>
      </c>
      <c r="N26" s="53">
        <f t="shared" si="6"/>
        <v>6.6416362351036096E-3</v>
      </c>
      <c r="O26" s="55">
        <f t="shared" si="7"/>
        <v>0.53358785380151619</v>
      </c>
      <c r="P26" s="58">
        <f t="shared" si="4"/>
        <v>1</v>
      </c>
      <c r="Q26" s="119">
        <f>IF(M26=Year_Open_to_Traffic?,Calculations!$J$4,Calculations!Q25+Calculations!Q25*Calculations!N26*P26)</f>
        <v>410397.25683212758</v>
      </c>
      <c r="R26" s="66">
        <f t="shared" si="0"/>
        <v>1</v>
      </c>
      <c r="S26" s="119">
        <f t="shared" si="5"/>
        <v>410.3972568321276</v>
      </c>
      <c r="T26" s="40">
        <f>S26/(1+'Assumed Values'!$C$6)^(Calculations!M26-'Assumed Values'!$C$5)</f>
        <v>92.63206382051321</v>
      </c>
    </row>
    <row r="27" spans="1:20" x14ac:dyDescent="0.25">
      <c r="A27" s="117"/>
      <c r="B27" s="117"/>
      <c r="D27" s="70">
        <f>Calculations!E19</f>
        <v>1.1346232007361779E-2</v>
      </c>
      <c r="E27" s="70">
        <f>Calculations!E20</f>
        <v>5.7353372759793263E-2</v>
      </c>
      <c r="F27" s="70">
        <f>Calculations!E21</f>
        <v>0.32358721670027574</v>
      </c>
      <c r="G27" s="70">
        <f>Calculations!E22</f>
        <v>0.8078151181757478</v>
      </c>
      <c r="H27" s="70">
        <f>Calculations!E23</f>
        <v>6.2637788815350977</v>
      </c>
      <c r="I27" s="70">
        <f>Calculations!E24</f>
        <v>0.54352111390104008</v>
      </c>
      <c r="J27" s="118"/>
      <c r="L27" s="103"/>
      <c r="M27" s="13">
        <f t="shared" si="1"/>
        <v>2041</v>
      </c>
      <c r="N27" s="53">
        <f t="shared" si="6"/>
        <v>6.6416362351036096E-3</v>
      </c>
      <c r="O27" s="55">
        <f t="shared" si="7"/>
        <v>0.53713175022593551</v>
      </c>
      <c r="P27" s="58">
        <f t="shared" si="4"/>
        <v>1</v>
      </c>
      <c r="Q27" s="119">
        <f>IF(M27=Year_Open_to_Traffic?,Calculations!$J$4,Calculations!Q26+Calculations!Q26*Calculations!N27*P27)</f>
        <v>413122.96612389095</v>
      </c>
      <c r="R27" s="66">
        <f t="shared" si="0"/>
        <v>1</v>
      </c>
      <c r="S27" s="119">
        <f t="shared" si="5"/>
        <v>413.12296612389093</v>
      </c>
      <c r="T27" s="40">
        <f>S27/(1+'Assumed Values'!$C$6)^(Calculations!M27-'Assumed Values'!$C$5)</f>
        <v>87.147002142164439</v>
      </c>
    </row>
    <row r="28" spans="1:20" x14ac:dyDescent="0.25">
      <c r="A28" s="49" t="s">
        <v>95</v>
      </c>
      <c r="B28" s="67" t="s">
        <v>96</v>
      </c>
      <c r="D28" s="71">
        <f>D$27*'Value of Statistical Life'!D17</f>
        <v>0</v>
      </c>
      <c r="E28" s="71">
        <f>E$27*'Value of Statistical Life'!E17</f>
        <v>1.9712354217540943E-3</v>
      </c>
      <c r="F28" s="71">
        <f>F$27*'Value of Statistical Life'!F17</f>
        <v>2.7009824977972018E-2</v>
      </c>
      <c r="G28" s="71">
        <f>G$27*'Value of Statistical Life'!G17</f>
        <v>0.18932762924685001</v>
      </c>
      <c r="H28" s="71">
        <f>H$27*'Value of Statistical Life'!H17</f>
        <v>5.7961251502396873</v>
      </c>
      <c r="I28" s="71">
        <f>I$27*'Value of Statistical Life'!I17</f>
        <v>0.23738828170741824</v>
      </c>
      <c r="J28" s="71">
        <f>SUM(D28:I28)</f>
        <v>6.2518221215936816</v>
      </c>
      <c r="K28" s="99"/>
      <c r="L28" s="103"/>
      <c r="M28" s="60">
        <f t="shared" si="1"/>
        <v>2042</v>
      </c>
      <c r="N28" s="53">
        <f t="shared" si="6"/>
        <v>6.6416362351036096E-3</v>
      </c>
      <c r="O28" s="55">
        <f t="shared" si="7"/>
        <v>0.54069918392126071</v>
      </c>
      <c r="P28" s="58">
        <f t="shared" si="4"/>
        <v>1</v>
      </c>
      <c r="Q28" s="119">
        <f>IF(M28=Year_Open_to_Traffic?,Calculations!$J$4,Calculations!Q27+Calculations!Q27*Calculations!N28*P28)</f>
        <v>415866.77858525288</v>
      </c>
      <c r="R28" s="66">
        <f t="shared" si="0"/>
        <v>1</v>
      </c>
      <c r="S28" s="119">
        <f t="shared" si="5"/>
        <v>415.86677858525286</v>
      </c>
      <c r="T28" s="40">
        <f>S28/(1+'Assumed Values'!$C$6)^(Calculations!M28-'Assumed Values'!$C$5)</f>
        <v>81.986729747077092</v>
      </c>
    </row>
    <row r="29" spans="1:20" x14ac:dyDescent="0.25">
      <c r="A29" s="49" t="s">
        <v>61</v>
      </c>
      <c r="B29" s="50" t="s">
        <v>62</v>
      </c>
      <c r="D29" s="71">
        <f>D$27*'Value of Statistical Life'!D18</f>
        <v>0</v>
      </c>
      <c r="E29" s="71">
        <f>E$27*'Value of Statistical Life'!E18</f>
        <v>3.1801871661577767E-2</v>
      </c>
      <c r="F29" s="71">
        <f>F$27*'Value of Statistical Life'!F18</f>
        <v>0.24865412492899286</v>
      </c>
      <c r="G29" s="71">
        <f>G$27*'Value of Statistical Life'!G18</f>
        <v>0.5569562113774511</v>
      </c>
      <c r="H29" s="71">
        <f>H$27*'Value of Statistical Life'!H18</f>
        <v>0.45456243343300201</v>
      </c>
      <c r="I29" s="71">
        <f>I$27*'Value of Statistical Life'!I18</f>
        <v>0.22686027773115511</v>
      </c>
      <c r="J29" s="71">
        <f t="shared" ref="J29:J34" si="8">SUM(D29:I29)</f>
        <v>1.5188349191321788</v>
      </c>
      <c r="K29" s="99"/>
      <c r="L29" s="103"/>
      <c r="M29" s="13">
        <f t="shared" si="1"/>
        <v>2043</v>
      </c>
      <c r="N29" s="53">
        <f t="shared" si="6"/>
        <v>6.6416362351036096E-3</v>
      </c>
      <c r="O29" s="55">
        <f t="shared" si="7"/>
        <v>0.54429031121348315</v>
      </c>
      <c r="P29" s="58">
        <f t="shared" si="4"/>
        <v>1</v>
      </c>
      <c r="Q29" s="119">
        <f>IF(M29=Year_Open_to_Traffic?,Calculations!$J$4,Calculations!Q28+Calculations!Q28*Calculations!N29*P29)</f>
        <v>418628.81445088051</v>
      </c>
      <c r="R29" s="66">
        <f t="shared" si="0"/>
        <v>1</v>
      </c>
      <c r="S29" s="119">
        <f t="shared" si="5"/>
        <v>418.6288144508805</v>
      </c>
      <c r="T29" s="40">
        <f>S29/(1+'Assumed Values'!$C$6)^(Calculations!M29-'Assumed Values'!$C$5)</f>
        <v>77.13201474968497</v>
      </c>
    </row>
    <row r="30" spans="1:20" x14ac:dyDescent="0.25">
      <c r="A30" s="49" t="s">
        <v>63</v>
      </c>
      <c r="B30" s="50" t="s">
        <v>64</v>
      </c>
      <c r="D30" s="71">
        <f>D$27*'Value of Statistical Life'!D19</f>
        <v>0</v>
      </c>
      <c r="E30" s="71">
        <f>E$27*'Value of Statistical Life'!E19</f>
        <v>1.1991443176617574E-2</v>
      </c>
      <c r="F30" s="71">
        <f>F$27*'Value of Statistical Life'!F19</f>
        <v>3.5264534875996047E-2</v>
      </c>
      <c r="G30" s="71">
        <f>G$27*'Value of Statistical Life'!G19</f>
        <v>5.1627464202612036E-2</v>
      </c>
      <c r="H30" s="71">
        <f>H$27*'Value of Statistical Life'!H19</f>
        <v>1.2402282185439492E-2</v>
      </c>
      <c r="I30" s="71">
        <f>I$27*'Value of Statistical Life'!I19</f>
        <v>4.8221193225300274E-2</v>
      </c>
      <c r="J30" s="71">
        <f t="shared" si="8"/>
        <v>0.15950691766596542</v>
      </c>
      <c r="K30" s="99"/>
      <c r="L30" s="103"/>
      <c r="M30" s="13">
        <f t="shared" si="1"/>
        <v>2044</v>
      </c>
      <c r="N30" s="53">
        <f t="shared" si="6"/>
        <v>6.6416362351036096E-3</v>
      </c>
      <c r="O30" s="55">
        <f t="shared" si="7"/>
        <v>0.54790528946685446</v>
      </c>
      <c r="P30" s="58">
        <f t="shared" si="4"/>
        <v>1</v>
      </c>
      <c r="Q30" s="119">
        <f>IF(M30=Year_Open_to_Traffic?,Calculations!$J$4,Calculations!Q29+Calculations!Q29*Calculations!N30*P30)</f>
        <v>421409.19475399592</v>
      </c>
      <c r="R30" s="66">
        <f t="shared" si="0"/>
        <v>1</v>
      </c>
      <c r="S30" s="119">
        <f t="shared" si="5"/>
        <v>421.40919475399591</v>
      </c>
      <c r="T30" s="40">
        <f>S30/(1+'Assumed Values'!$C$6)^(Calculations!M30-'Assumed Values'!$C$5)</f>
        <v>72.564764050217789</v>
      </c>
    </row>
    <row r="31" spans="1:20" x14ac:dyDescent="0.25">
      <c r="A31" s="49" t="s">
        <v>65</v>
      </c>
      <c r="B31" s="50" t="s">
        <v>66</v>
      </c>
      <c r="D31" s="71">
        <f>D$27*'Value of Statistical Life'!D20</f>
        <v>0</v>
      </c>
      <c r="E31" s="71">
        <f>E$27*'Value of Statistical Life'!E20</f>
        <v>8.2801064253313541E-3</v>
      </c>
      <c r="F31" s="71">
        <f>F$27*'Value of Statistical Life'!F20</f>
        <v>1.0325668084905799E-2</v>
      </c>
      <c r="G31" s="71">
        <f>G$27*'Value of Statistical Life'!G20</f>
        <v>8.6516999156622601E-3</v>
      </c>
      <c r="H31" s="71">
        <f>H$27*'Value of Statistical Life'!H20</f>
        <v>5.0110231052280789E-4</v>
      </c>
      <c r="I31" s="71">
        <f>I$27*'Value of Statistical Life'!I20</f>
        <v>2.6181412056613101E-2</v>
      </c>
      <c r="J31" s="71">
        <f t="shared" si="8"/>
        <v>5.3939988793035326E-2</v>
      </c>
      <c r="K31" s="99"/>
      <c r="L31" s="103"/>
      <c r="M31" s="13">
        <f t="shared" si="1"/>
        <v>2045</v>
      </c>
      <c r="N31" s="53">
        <f t="shared" si="6"/>
        <v>6.6416362351036096E-3</v>
      </c>
      <c r="O31" s="55">
        <f t="shared" si="7"/>
        <v>0.55154427709078246</v>
      </c>
      <c r="P31" s="58">
        <f t="shared" si="4"/>
        <v>1</v>
      </c>
      <c r="Q31" s="119">
        <f>IF(M31=Year_Open_to_Traffic?,Calculations!$J$4,Calculations!Q30+Calculations!Q30*Calculations!N31*P31)</f>
        <v>424208.04133167991</v>
      </c>
      <c r="R31" s="66">
        <f t="shared" si="0"/>
        <v>1</v>
      </c>
      <c r="S31" s="119">
        <f t="shared" si="5"/>
        <v>424.20804133167991</v>
      </c>
      <c r="T31" s="40">
        <f>S31/(1+'Assumed Values'!$C$6)^(Calculations!M31-'Assumed Values'!$C$5)</f>
        <v>68.267955903294805</v>
      </c>
    </row>
    <row r="32" spans="1:20" x14ac:dyDescent="0.25">
      <c r="A32" s="49" t="s">
        <v>67</v>
      </c>
      <c r="B32" s="50" t="s">
        <v>68</v>
      </c>
      <c r="D32" s="71">
        <f>D$27*'Value of Statistical Life'!D21</f>
        <v>0</v>
      </c>
      <c r="E32" s="71">
        <f>E$27*'Value of Statistical Life'!E21</f>
        <v>2.2861054382053592E-3</v>
      </c>
      <c r="F32" s="71">
        <f>F$27*'Value of Statistical Life'!F21</f>
        <v>2.0062407435417094E-3</v>
      </c>
      <c r="G32" s="71">
        <f>G$27*'Value of Statistical Life'!G21</f>
        <v>1.1470974678095618E-3</v>
      </c>
      <c r="H32" s="71">
        <f>H$27*'Value of Statistical Life'!H21</f>
        <v>0</v>
      </c>
      <c r="I32" s="71">
        <f>I$27*'Value of Statistical Life'!I21</f>
        <v>3.3535252727694173E-3</v>
      </c>
      <c r="J32" s="71">
        <f t="shared" si="8"/>
        <v>8.7929689223260471E-3</v>
      </c>
      <c r="K32" s="99"/>
      <c r="L32" s="103"/>
      <c r="M32" s="13">
        <f t="shared" si="1"/>
        <v>2046</v>
      </c>
      <c r="N32" s="53">
        <f t="shared" si="6"/>
        <v>6.6416362351036096E-3</v>
      </c>
      <c r="O32" s="55">
        <f t="shared" si="7"/>
        <v>0.5552074335467726</v>
      </c>
      <c r="P32" s="58">
        <f t="shared" si="4"/>
        <v>1</v>
      </c>
      <c r="Q32" s="119">
        <f>IF(M32=Year_Open_to_Traffic?,Calculations!$J$4,Calculations!Q31+Calculations!Q31*Calculations!N32*P32)</f>
        <v>427025.47683021071</v>
      </c>
      <c r="R32" s="66">
        <f t="shared" si="0"/>
        <v>1</v>
      </c>
      <c r="S32" s="119">
        <f t="shared" si="5"/>
        <v>427.02547683021072</v>
      </c>
      <c r="T32" s="40">
        <f>S32/(1+'Assumed Values'!$C$6)^(Calculations!M32-'Assumed Values'!$C$5)</f>
        <v>64.22557647936317</v>
      </c>
    </row>
    <row r="33" spans="1:20" x14ac:dyDescent="0.25">
      <c r="A33" s="49" t="s">
        <v>69</v>
      </c>
      <c r="B33" s="50" t="s">
        <v>70</v>
      </c>
      <c r="D33" s="71">
        <f>D$27*'Value of Statistical Life'!D22</f>
        <v>0</v>
      </c>
      <c r="E33" s="71">
        <f>E$27*'Value of Statistical Life'!E22</f>
        <v>1.0226106363071137E-3</v>
      </c>
      <c r="F33" s="71">
        <f>F$27*'Value of Statistical Life'!F22</f>
        <v>3.2682308886727851E-4</v>
      </c>
      <c r="G33" s="71">
        <f>G$27*'Value of Statistical Life'!G22</f>
        <v>1.0501596536284721E-4</v>
      </c>
      <c r="H33" s="71">
        <f>H$27*'Value of Statistical Life'!H22</f>
        <v>1.8791336644605295E-4</v>
      </c>
      <c r="I33" s="71">
        <f>I$27*'Value of Statistical Life'!I22</f>
        <v>1.5164239077839017E-3</v>
      </c>
      <c r="J33" s="71">
        <f t="shared" si="8"/>
        <v>3.1587869647671943E-3</v>
      </c>
      <c r="K33" s="99"/>
      <c r="L33" s="103"/>
      <c r="M33" s="13">
        <f t="shared" si="1"/>
        <v>2047</v>
      </c>
      <c r="N33" s="53">
        <f t="shared" si="6"/>
        <v>6.6416362351036096E-3</v>
      </c>
      <c r="O33" s="55">
        <f t="shared" si="7"/>
        <v>0.55889491935541569</v>
      </c>
      <c r="P33" s="58">
        <f t="shared" si="4"/>
        <v>1</v>
      </c>
      <c r="Q33" s="119">
        <f>IF(M33=Year_Open_to_Traffic?,Calculations!$J$4,Calculations!Q32+Calculations!Q32*Calculations!N33*P33)</f>
        <v>429861.62471043866</v>
      </c>
      <c r="R33" s="66">
        <f t="shared" si="0"/>
        <v>1</v>
      </c>
      <c r="S33" s="119">
        <f t="shared" si="5"/>
        <v>429.86162471043866</v>
      </c>
      <c r="T33" s="40">
        <f>S33/(1+'Assumed Values'!$C$6)^(Calculations!M33-'Assumed Values'!$C$5)</f>
        <v>60.422560182550406</v>
      </c>
    </row>
    <row r="34" spans="1:20" x14ac:dyDescent="0.25">
      <c r="A34" s="49" t="s">
        <v>71</v>
      </c>
      <c r="B34" s="50" t="s">
        <v>72</v>
      </c>
      <c r="D34" s="71">
        <f>D$27*'Value of Statistical Life'!D23</f>
        <v>1.1346232007361779E-2</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1.1346232007361779E-2</v>
      </c>
      <c r="K34" s="99"/>
      <c r="L34" s="103"/>
      <c r="M34" s="13">
        <f t="shared" si="1"/>
        <v>2048</v>
      </c>
      <c r="N34" s="53">
        <f t="shared" si="6"/>
        <v>6.6416362351036096E-3</v>
      </c>
      <c r="O34" s="55">
        <f t="shared" si="7"/>
        <v>0.56260689610342196</v>
      </c>
      <c r="P34" s="58">
        <f t="shared" si="4"/>
        <v>1</v>
      </c>
      <c r="Q34" s="119">
        <f>IF(M34=Year_Open_to_Traffic?,Calculations!$J$4,Calculations!Q33+Calculations!Q33*Calculations!N34*P34)</f>
        <v>432716.60925319599</v>
      </c>
      <c r="R34" s="66">
        <f t="shared" si="0"/>
        <v>1</v>
      </c>
      <c r="S34" s="119">
        <f t="shared" si="5"/>
        <v>432.716609253196</v>
      </c>
      <c r="T34" s="40">
        <f>S34/(1+'Assumed Values'!$C$6)^(Calculations!M34-'Assumed Values'!$C$5)</f>
        <v>56.844733502501455</v>
      </c>
    </row>
    <row r="35" spans="1:20" x14ac:dyDescent="0.25">
      <c r="J35" s="86"/>
      <c r="K35" s="98"/>
      <c r="M35" s="13">
        <f t="shared" si="1"/>
        <v>2049</v>
      </c>
      <c r="N35" s="53">
        <f t="shared" si="6"/>
        <v>6.6416362351036096E-3</v>
      </c>
      <c r="O35" s="55">
        <f t="shared" si="7"/>
        <v>0.56634352645070163</v>
      </c>
      <c r="P35" s="58">
        <f t="shared" si="4"/>
        <v>1</v>
      </c>
      <c r="Q35" s="119">
        <f>IF(M35=Year_Open_to_Traffic?,Calculations!$J$4,Calculations!Q34+Calculations!Q34*Calculations!N35*P35)</f>
        <v>435590.55556474318</v>
      </c>
      <c r="R35" s="66">
        <f t="shared" si="0"/>
        <v>1</v>
      </c>
      <c r="S35" s="119">
        <f t="shared" si="5"/>
        <v>435.59055556474317</v>
      </c>
      <c r="T35" s="40">
        <f>S35/(1+'Assumed Values'!$C$6)^(Calculations!M35-'Assumed Values'!$C$5)</f>
        <v>53.478762190940621</v>
      </c>
    </row>
    <row r="36" spans="1:20" x14ac:dyDescent="0.25">
      <c r="M36" s="13">
        <f t="shared" si="1"/>
        <v>2050</v>
      </c>
      <c r="N36" s="53">
        <f t="shared" si="6"/>
        <v>6.6416362351036096E-3</v>
      </c>
      <c r="O36" s="55">
        <f t="shared" si="7"/>
        <v>0.57010497413749295</v>
      </c>
      <c r="P36" s="58">
        <f t="shared" si="4"/>
        <v>1</v>
      </c>
      <c r="Q36" s="119">
        <f>IF(M36=Year_Open_to_Traffic?,Calculations!$J$4,Calculations!Q35+Calculations!Q35*Calculations!N36*P36)</f>
        <v>438483.58958225086</v>
      </c>
      <c r="R36" s="66">
        <f t="shared" si="0"/>
        <v>1</v>
      </c>
      <c r="S36" s="119">
        <f t="shared" si="5"/>
        <v>438.48358958225089</v>
      </c>
      <c r="T36" s="40">
        <f>S36/(1+'Assumed Values'!$C$6)^(Calculations!M36-'Assumed Values'!$C$5)</f>
        <v>50.312101566090156</v>
      </c>
    </row>
    <row r="37" spans="1:20" x14ac:dyDescent="0.25">
      <c r="D37" s="28"/>
      <c r="E37" s="28"/>
      <c r="F37" s="28"/>
      <c r="G37" s="28"/>
      <c r="H37" s="28"/>
      <c r="M37" s="50"/>
      <c r="N37" s="120"/>
      <c r="O37" s="121"/>
      <c r="P37" s="122"/>
      <c r="Q37" s="50"/>
      <c r="R37" s="50"/>
      <c r="S37" s="50"/>
      <c r="T37" s="40">
        <f>SUM(T4:T36)</f>
        <v>4159.8277576757764</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2018-08-02T19:00:00Z</cp:lastPrinted>
  <dcterms:created xsi:type="dcterms:W3CDTF">2012-07-25T15:48:32Z</dcterms:created>
  <dcterms:modified xsi:type="dcterms:W3CDTF">2018-10-25T21:26:51Z</dcterms:modified>
</cp:coreProperties>
</file>