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EEMD - Terminal\"/>
    </mc:Choice>
  </mc:AlternateContent>
  <xr:revisionPtr revIDLastSave="0" documentId="13_ncr:1_{F4D61E8F-11AF-4E39-A218-D5A256C01296}"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B17" i="7"/>
  <c r="B16" i="7"/>
  <c r="E17" i="7"/>
  <c r="G5" i="7" l="1"/>
  <c r="H5" i="7" s="1"/>
  <c r="N7" i="12"/>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<sst xmlns="http://schemas.openxmlformats.org/spreadsheetml/2006/main" count="291" uniqueCount="238">
  <si>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</si>
  <si>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</si>
  <si>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</si>
  <si>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</si>
  <si>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</si>
  <si>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</si>
  <si>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</si>
  <si>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</si>
  <si>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</si>
  <si>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</si>
  <si>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</si>
  <si>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</si>
  <si>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</si>
  <si>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</si>
  <si>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</si>
  <si>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</si>
  <si>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</si>
  <si>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</si>
  <si>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</si>
  <si>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</si>
  <si>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</si>
  <si>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</si>
  <si>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</si>
  <si>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</si>
  <si>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</si>
  <si>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</si>
  <si>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</si>
  <si>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</si>
  <si>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</si>
  <si>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</si>
  <si>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</si>
  <si>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</si>
  <si>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</si>
  <si>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</si>
  <si>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</si>
  <si>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</si>
  <si>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</si>
  <si>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</si>
  <si>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</si>
  <si>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</si>
  <si>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</si>
  <si>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</si>
  <si>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</si>
  <si>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</si>
  <si>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</si>
  <si>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</si>
  <si>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</si>
  <si>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</si>
  <si>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</si>
  <si>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</si>
  <si>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</si>
  <si>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</si>
  <si>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</si>
  <si>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</si>
  <si>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</si>
  <si>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</si>
  <si>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</si>
  <si>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</si>
  <si>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</si>
  <si>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</si>
  <si>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</si>
  <si>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</si>
  <si>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</si>
  <si>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</si>
  <si>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</si>
  <si>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</si>
  <si>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</si>
  <si>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</si>
  <si>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</si>
  <si>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</si>
  <si>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</si>
  <si>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</si>
  <si>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</si>
  <si>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</si>
  <si>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</si>
  <si>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</si>
  <si>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</si>
  <si>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</si>
  <si>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</si>
  <si>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</si>
  <si>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</si>
  <si>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</si>
  <si>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</si>
  <si>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</si>
  <si>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</si>
  <si>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</si>
  <si>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</si>
  <si>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</si>
  <si>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</si>
  <si>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</si>
  <si>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</si>
  <si>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</si>
  <si>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</si>
  <si>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</si>
  <si>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</si>
  <si>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</si>
  <si>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</si>
  <si>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</si>
  <si>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</si>
  <si>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</si>
  <si>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</si>
  <si>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</si>
  <si>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</si>
  <si>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</si>
  <si>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</si>
  <si>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</si>
  <si>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</si>
  <si>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</si>
  <si>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</si>
  <si>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</si>
  <si>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</si>
  <si>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</si>
  <si>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</si>
  <si>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</si>
  <si>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</si>
  <si>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</si>
  <si>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</si>
  <si>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</si>
  <si>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</si>
  <si>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</si>
  <si>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</si>
  <si>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</si>
  <si>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</si>
  <si>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</si>
  <si>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</si>
  <si>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</si>
  <si>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</si>
  <si>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</si>
  <si>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</si>
  <si>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</si>
  <si>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</si>
  <si>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</si>
  <si>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</si>
  <si>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</si>
  <si>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</si>
  <si>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</si>
  <si>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</si>
  <si>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</si>
  <si>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</si>
  <si>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</si>
  <si>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</si>
  <si>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</si>
  <si>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</si>
  <si>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</si>
  <si>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</si>
  <si>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</si>
  <si>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</si>
  <si>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</si>
  <si>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</si>
  <si>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</si>
  <si>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</si>
  <si>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</si>
  <si>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</si>
  <si>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</si>
  <si>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</si>
  <si>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</si>
  <si>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</si>
  <si>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</si>
  <si>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</si>
  <si>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</si>
  <si>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</si>
  <si>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</si>
  <si>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</si>
  <si>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</si>
  <si>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</si>
  <si>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</si>
  <si>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</si>
  <si>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</si>
  <si>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</si>
  <si>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</si>
  <si>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</si>
  <si>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</si>
  <si>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</si>
  <si>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</si>
  <si>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</si>
  <si>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</si>
  <si>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</si>
  <si>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</si>
  <si>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</si>
  <si>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</si>
  <si>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</si>
  <si>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</si>
  <si>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</si>
  <si>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</si>
  <si>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</si>
  <si>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</si>
  <si>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</si>
  <si>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</si>
  <si>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</si>
  <si>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</si>
  <si>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</si>
  <si>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</si>
  <si>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</si>
  <si>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</si>
  <si>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</si>
  <si>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</si>
  <si>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</si>
  <si>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</si>
  <si>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</si>
  <si>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</si>
  <si>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</si>
  <si>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</si>
  <si>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</si>
  <si>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</si>
  <si>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</si>
  <si>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</si>
  <si>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</si>
  <si>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</si>
  <si>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</si>
  <si>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</si>
  <si>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</si>
  <si>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</si>
  <si>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</si>
  <si>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</si>
  <si>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</si>
  <si>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</si>
  <si>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</si>
  <si>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</si>
  <si>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</si>
  <si>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</si>
  <si>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</si>
  <si>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</si>
  <si>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</si>
  <si>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</si>
  <si>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</si>
  <si>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</si>
  <si>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</si>
  <si>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</si>
  <si>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</si>
  <si>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</si>
  <si>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</si>
  <si>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</si>
  <si>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</si>
  <si>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Eastwood Intermodal Terminal Project</t>
  </si>
  <si>
    <t>Non-Freeway</t>
  </si>
  <si>
    <t>Harrisburg and Travis/Milam</t>
  </si>
  <si>
    <t>Lockwood Drive</t>
  </si>
  <si>
    <t>University Blvd.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</si>
</sst>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0" fillId="3" borderId="1" xfId="0" applyFill="1" applyBorder="1" applyAlignment="1" applyProtection="1">
      <alignment vertical="center" wrapText="1"/>
      <protection locked="0"/>
    </xf>
    <xf numFmtId="3" fontId="0" fillId="17"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9"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0"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45" x14ac:dyDescent="0.25">
      <c r="A6" s="8" t="s">
        <v>97</v>
      </c>
      <c r="B6" s="148" t="s">
        <v>233</v>
      </c>
      <c r="D6" s="8"/>
      <c r="E6" s="103" t="s">
        <v>187</v>
      </c>
    </row>
    <row r="7" spans="1:7" x14ac:dyDescent="0.25">
      <c r="A7" s="8" t="s">
        <v>98</v>
      </c>
      <c r="B7" s="8" t="s">
        <v>200</v>
      </c>
      <c r="D7" s="104"/>
      <c r="E7" s="103" t="s">
        <v>196</v>
      </c>
    </row>
    <row r="8" spans="1:7" x14ac:dyDescent="0.25">
      <c r="A8" s="8" t="s">
        <v>99</v>
      </c>
      <c r="B8" s="8" t="s">
        <v>234</v>
      </c>
      <c r="D8" s="105"/>
      <c r="E8" s="103" t="s">
        <v>216</v>
      </c>
    </row>
    <row r="9" spans="1:7" x14ac:dyDescent="0.25">
      <c r="A9" s="8" t="s">
        <v>100</v>
      </c>
      <c r="B9" s="8" t="s">
        <v>235</v>
      </c>
      <c r="D9" s="106"/>
      <c r="E9" s="103" t="s">
        <v>188</v>
      </c>
    </row>
    <row r="10" spans="1:7" x14ac:dyDescent="0.25">
      <c r="A10" s="8" t="s">
        <v>101</v>
      </c>
      <c r="B10" s="8" t="s">
        <v>236</v>
      </c>
    </row>
    <row r="11" spans="1:7" x14ac:dyDescent="0.25">
      <c r="A11" s="8" t="s">
        <v>102</v>
      </c>
      <c r="B11" s="8" t="s">
        <v>237</v>
      </c>
    </row>
    <row r="12" spans="1:7" x14ac:dyDescent="0.25">
      <c r="A12" s="8" t="s">
        <v>103</v>
      </c>
      <c r="B12" s="137">
        <v>10.5</v>
      </c>
    </row>
    <row r="13" spans="1:7" x14ac:dyDescent="0.25">
      <c r="A13" s="8" t="s">
        <v>68</v>
      </c>
      <c r="B13" s="137">
        <v>190</v>
      </c>
      <c r="F13" s="120"/>
    </row>
    <row r="14" spans="1:7" x14ac:dyDescent="0.25">
      <c r="A14" s="8" t="s">
        <v>69</v>
      </c>
      <c r="B14" s="137"/>
    </row>
    <row r="17" spans="1:7" x14ac:dyDescent="0.25">
      <c r="A17" s="119" t="s">
        <v>120</v>
      </c>
      <c r="E17" s="152" t="s">
        <v>231</v>
      </c>
      <c r="F17" s="153"/>
    </row>
    <row r="18" spans="1:7" x14ac:dyDescent="0.25">
      <c r="A18" s="8" t="s">
        <v>79</v>
      </c>
      <c r="B18" s="138">
        <v>2021</v>
      </c>
      <c r="E18" s="105" t="s">
        <v>232</v>
      </c>
      <c r="F18" s="144">
        <f>$B$12/$B$32</f>
        <v>0.3860294117647059</v>
      </c>
    </row>
    <row r="19" spans="1:7" ht="45" x14ac:dyDescent="0.25">
      <c r="A19" s="8" t="s">
        <v>121</v>
      </c>
      <c r="B19" s="139" t="s">
        <v>177</v>
      </c>
      <c r="E19" s="107" t="s">
        <v>212</v>
      </c>
      <c r="F19" s="145">
        <f>$B$12/$B$33</f>
        <v>0.5357142857142857</v>
      </c>
    </row>
    <row r="20" spans="1:7" ht="30" x14ac:dyDescent="0.25">
      <c r="A20" s="135" t="s">
        <v>208</v>
      </c>
      <c r="B20" s="136">
        <f>VLOOKUP(B19,'Delay Reduction Factors'!B4:C80,2, FALSE)</f>
        <v>0.08</v>
      </c>
      <c r="E20" s="107" t="s">
        <v>209</v>
      </c>
      <c r="F20" s="144">
        <f>$F$19-$F$18</f>
        <v>0.1496848739495798</v>
      </c>
    </row>
    <row r="21" spans="1:7" x14ac:dyDescent="0.25">
      <c r="A21" s="8" t="s">
        <v>104</v>
      </c>
      <c r="B21" s="79">
        <v>50</v>
      </c>
      <c r="D21" s="121"/>
      <c r="E21" s="105" t="s">
        <v>210</v>
      </c>
      <c r="F21" s="144">
        <f>$F$20*$B$20</f>
        <v>1.1974789915966384E-2</v>
      </c>
      <c r="G21" s="122"/>
    </row>
    <row r="22" spans="1:7" s="113" customFormat="1" x14ac:dyDescent="0.25">
      <c r="D22" s="121"/>
      <c r="E22" s="105" t="s">
        <v>211</v>
      </c>
      <c r="F22" s="144">
        <f>$F$20-$F$21</f>
        <v>0.13771008403361343</v>
      </c>
      <c r="G22" s="122"/>
    </row>
    <row r="23" spans="1:7" x14ac:dyDescent="0.25">
      <c r="E23" s="105" t="s">
        <v>213</v>
      </c>
      <c r="F23" s="144">
        <f>$F$18+$F$22</f>
        <v>0.52373949579831935</v>
      </c>
    </row>
    <row r="24" spans="1:7" x14ac:dyDescent="0.25">
      <c r="A24" s="119" t="s">
        <v>94</v>
      </c>
      <c r="B24" s="123"/>
      <c r="D24" s="121"/>
      <c r="G24" s="124"/>
    </row>
    <row r="25" spans="1:7" x14ac:dyDescent="0.25">
      <c r="A25" s="8" t="s">
        <v>218</v>
      </c>
      <c r="B25" s="140">
        <v>9958</v>
      </c>
      <c r="D25" s="121"/>
      <c r="G25" s="124"/>
    </row>
    <row r="28" spans="1:7" x14ac:dyDescent="0.25">
      <c r="A28" s="105" t="s">
        <v>227</v>
      </c>
      <c r="B28" s="134">
        <f>IF(FacilityType='Delay Reduction Factors'!N5,'Inputs &amp; Outputs'!B25*45%, B25*43%)</f>
        <v>4281.9399999999996</v>
      </c>
      <c r="D28" s="121"/>
      <c r="E28" s="125" t="s">
        <v>95</v>
      </c>
      <c r="F28" s="126" t="s">
        <v>20</v>
      </c>
      <c r="G28" s="127" t="s">
        <v>19</v>
      </c>
    </row>
    <row r="29" spans="1:7" x14ac:dyDescent="0.25">
      <c r="A29" s="105" t="s">
        <v>228</v>
      </c>
      <c r="B29" s="115">
        <f>VLOOKUP(Year_Open_to_Traffic?,Calculations!H4:I36,2)</f>
        <v>5669.8038834449408</v>
      </c>
      <c r="D29" s="121"/>
      <c r="E29" s="107" t="s">
        <v>122</v>
      </c>
      <c r="F29" s="101">
        <f>$B$29*$F$23</f>
        <v>2969.5002271908065</v>
      </c>
      <c r="G29" s="102">
        <f>$B$29*$F$19</f>
        <v>3037.3949375597895</v>
      </c>
    </row>
    <row r="30" spans="1:7" x14ac:dyDescent="0.25">
      <c r="A30" s="124"/>
      <c r="B30" s="100"/>
      <c r="D30" s="121"/>
    </row>
    <row r="32" spans="1:7" x14ac:dyDescent="0.25">
      <c r="A32" s="128" t="s">
        <v>221</v>
      </c>
      <c r="B32" s="141">
        <v>27.2</v>
      </c>
      <c r="D32" s="121"/>
    </row>
    <row r="33" spans="1:7" ht="30" x14ac:dyDescent="0.25">
      <c r="A33" s="129" t="s">
        <v>222</v>
      </c>
      <c r="B33" s="142">
        <v>19.600000000000001</v>
      </c>
      <c r="D33" s="121"/>
      <c r="E33" s="121"/>
      <c r="F33" s="130"/>
      <c r="G33" s="117"/>
    </row>
    <row r="34" spans="1:7" x14ac:dyDescent="0.25">
      <c r="A34" s="131"/>
      <c r="B34" s="143"/>
      <c r="E34" s="117"/>
      <c r="F34" s="130"/>
      <c r="G34" s="130"/>
    </row>
    <row r="35" spans="1:7" x14ac:dyDescent="0.25">
      <c r="A35" s="105" t="s">
        <v>223</v>
      </c>
      <c r="B35" s="147">
        <f>$B$28</f>
        <v>4281.9399999999996</v>
      </c>
    </row>
    <row r="36" spans="1:7" x14ac:dyDescent="0.25">
      <c r="A36" s="128" t="s">
        <v>224</v>
      </c>
      <c r="B36" s="141">
        <v>17063</v>
      </c>
    </row>
    <row r="37" spans="1:7" x14ac:dyDescent="0.25">
      <c r="A37" s="128" t="s">
        <v>229</v>
      </c>
      <c r="B37" s="149">
        <v>8244</v>
      </c>
    </row>
    <row r="38" spans="1:7" x14ac:dyDescent="0.25">
      <c r="A38" s="128" t="s">
        <v>225</v>
      </c>
      <c r="B38" s="141">
        <v>17063</v>
      </c>
    </row>
    <row r="39" spans="1:7" x14ac:dyDescent="0.25">
      <c r="A39" s="128" t="s">
        <v>230</v>
      </c>
      <c r="B39" s="149">
        <v>9411</v>
      </c>
    </row>
    <row r="40" spans="1:7" x14ac:dyDescent="0.25">
      <c r="A40" s="128" t="s">
        <v>226</v>
      </c>
      <c r="B40" s="141">
        <v>17063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9388.9214862093395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C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772070.05906960974</v>
      </c>
      <c r="F4" s="22">
        <f>'Inputs &amp; Outputs'!G29*Annual_Days_of_Travel</f>
        <v>789722.68376554525</v>
      </c>
      <c r="H4" s="59">
        <v>2018</v>
      </c>
      <c r="I4" s="60">
        <f>'Inputs &amp; Outputs'!B28</f>
        <v>4281.9399999999996</v>
      </c>
      <c r="J4" s="60">
        <f>IF(H4=Year_Open_to_Traffic?,$F$4,0)</f>
        <v>0</v>
      </c>
      <c r="K4" s="60">
        <f>IF(H4=Year_Open_to_Traffic?,Calculations!$E$4,0)</f>
        <v>0</v>
      </c>
      <c r="L4" s="60">
        <f>IF(AND(H4&gt;=Year_Open_to_Traffic?, Calculations!H4&lt;Year_Open_to_Traffic?+'Inputs &amp; Outputs'!B$21), 1, 0)</f>
        <v>0</v>
      </c>
      <c r="M4" s="81" t="s">
        <v>75</v>
      </c>
      <c r="N4" s="82">
        <f>MIN(E8,1)</f>
        <v>0.25094883666412704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9.810150435913223E-2</v>
      </c>
      <c r="F5" s="28"/>
      <c r="H5" s="15">
        <f t="shared" ref="H5:H36" si="3">H4+1</f>
        <v>2019</v>
      </c>
      <c r="I5" s="97">
        <f>(I4*M5)+I4</f>
        <v>4702.0047555755418</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9.810150435913223E-2</v>
      </c>
      <c r="N5" s="87">
        <f t="shared" ref="N5:N11" si="6">N4*(1+IFERROR(_2018_2025_V_C_Growth,_2018_2045_V_C_Growth))</f>
        <v>0.27556729505805205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6.6416362351036096E-3</v>
      </c>
      <c r="F6" s="28"/>
      <c r="H6" s="59">
        <f t="shared" si="3"/>
        <v>2020</v>
      </c>
      <c r="I6" s="97">
        <f t="shared" ref="I6:I36" si="10">(I5*M6)+I5</f>
        <v>5163.2784956012965</v>
      </c>
      <c r="J6" s="60">
        <f t="shared" si="4"/>
        <v>0</v>
      </c>
      <c r="K6" s="60">
        <f>IF(H6=Year_Open_to_Traffic?,Calculations!$E$4,K5+(K5*M6))</f>
        <v>0</v>
      </c>
      <c r="L6" s="60">
        <f>IF(AND(H6&gt;=Year_Open_to_Traffic?, Calculations!H6&lt;Year_Open_to_Traffic?+'Inputs &amp; Outputs'!B$21), 1, 0)</f>
        <v>0</v>
      </c>
      <c r="M6" s="81">
        <f t="shared" si="5"/>
        <v>9.810150435913223E-2</v>
      </c>
      <c r="N6" s="87">
        <f t="shared" si="6"/>
        <v>0.30260086125542385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2.9595151467034952E-2</v>
      </c>
      <c r="F7" s="28"/>
      <c r="H7" s="15">
        <f t="shared" si="3"/>
        <v>2021</v>
      </c>
      <c r="I7" s="97">
        <f t="shared" si="10"/>
        <v>5669.8038834449408</v>
      </c>
      <c r="J7" s="60">
        <f t="shared" si="4"/>
        <v>789722.68376554525</v>
      </c>
      <c r="K7" s="60">
        <f>IF(H7=Year_Open_to_Traffic?,Calculations!$E$4,K6+(K6*M7))</f>
        <v>772070.05906960974</v>
      </c>
      <c r="L7" s="60">
        <f>IF(AND(H7&gt;=Year_Open_to_Traffic?, Calculations!H7&lt;Year_Open_to_Traffic?+'Inputs &amp; Outputs'!B$21), 1, 0)</f>
        <v>1</v>
      </c>
      <c r="M7" s="81">
        <f t="shared" si="5"/>
        <v>9.810150435913223E-2</v>
      </c>
      <c r="N7" s="87">
        <f t="shared" si="6"/>
        <v>0.33228646096494996</v>
      </c>
      <c r="O7" s="88">
        <f t="shared" si="7"/>
        <v>1</v>
      </c>
      <c r="P7" s="84">
        <f t="shared" si="8"/>
        <v>17652.624695935519</v>
      </c>
      <c r="Q7" s="85">
        <f t="shared" si="0"/>
        <v>1</v>
      </c>
      <c r="R7" s="86">
        <f t="shared" si="1"/>
        <v>18.980213686084522</v>
      </c>
      <c r="S7" s="94">
        <f t="shared" si="2"/>
        <v>465.72031850026138</v>
      </c>
      <c r="T7" s="80">
        <f t="shared" si="9"/>
        <v>380.1665072166947</v>
      </c>
    </row>
    <row r="8" spans="1:24" x14ac:dyDescent="0.25">
      <c r="A8" s="18" t="s">
        <v>27</v>
      </c>
      <c r="B8" s="18">
        <v>260</v>
      </c>
      <c r="D8" s="18" t="s">
        <v>66</v>
      </c>
      <c r="E8" s="23">
        <f>_2018_PeakVolume/_2018_Capacity</f>
        <v>0.25094883666412704</v>
      </c>
      <c r="F8" s="28"/>
      <c r="H8" s="59">
        <f t="shared" si="3"/>
        <v>2022</v>
      </c>
      <c r="I8" s="97">
        <f t="shared" si="10"/>
        <v>6226.0201738321393</v>
      </c>
      <c r="J8" s="60">
        <f t="shared" si="4"/>
        <v>867195.66706947645</v>
      </c>
      <c r="K8" s="60">
        <f>IF(H8=Year_Open_to_Traffic?,Calculations!$E$4,K7+(K7*M8))</f>
        <v>847811.29333498259</v>
      </c>
      <c r="L8" s="60">
        <f>IF(AND(H8&gt;=Year_Open_to_Traffic?, Calculations!H8&lt;Year_Open_to_Traffic?+'Inputs &amp; Outputs'!B$21), 1, 0)</f>
        <v>1</v>
      </c>
      <c r="M8" s="81">
        <f t="shared" si="5"/>
        <v>9.810150435913223E-2</v>
      </c>
      <c r="N8" s="87">
        <f t="shared" si="6"/>
        <v>0.3648842626637836</v>
      </c>
      <c r="O8" s="88">
        <f t="shared" si="7"/>
        <v>1</v>
      </c>
      <c r="P8" s="84">
        <f>(J8-K8)*L8</f>
        <v>19384.373734493856</v>
      </c>
      <c r="Q8" s="85">
        <f>IF(AND(H8&gt;=Year_Open_to_Traffic?,H8&lt;Year_Open_to_Traffic?+Years_to_include_in_BCA_Analysis),1,0)</f>
        <v>1</v>
      </c>
      <c r="R8" s="86">
        <f t="shared" si="1"/>
        <v>19.416758600864465</v>
      </c>
      <c r="S8" s="94">
        <f t="shared" si="2"/>
        <v>523.17057054993063</v>
      </c>
      <c r="T8" s="80">
        <f t="shared" si="9"/>
        <v>399.12432335671406</v>
      </c>
      <c r="W8" s="73"/>
      <c r="X8" s="73"/>
    </row>
    <row r="9" spans="1:24" x14ac:dyDescent="0.25">
      <c r="A9" s="18" t="s">
        <v>64</v>
      </c>
      <c r="B9" s="18">
        <f>'Inputs &amp; Outputs'!B21</f>
        <v>50</v>
      </c>
      <c r="D9" s="18" t="s">
        <v>65</v>
      </c>
      <c r="E9" s="23">
        <f>_2025_PeakVolume/_2025_Capacity</f>
        <v>0.48315067690324093</v>
      </c>
      <c r="F9" s="28"/>
      <c r="H9" s="15">
        <f t="shared" si="3"/>
        <v>2023</v>
      </c>
      <c r="I9" s="97">
        <f t="shared" si="10"/>
        <v>6836.8021190553782</v>
      </c>
      <c r="J9" s="60">
        <f t="shared" si="4"/>
        <v>952268.86658271332</v>
      </c>
      <c r="K9" s="60">
        <f>IF(H9=Year_Open_to_Traffic?,Calculations!$E$4,K8+(K8*M9))</f>
        <v>930982.85662380594</v>
      </c>
      <c r="L9" s="60">
        <f>IF(AND(H9&gt;=Year_Open_to_Traffic?, Calculations!H9&lt;Year_Open_to_Traffic?+'Inputs &amp; Outputs'!B$21), 1, 0)</f>
        <v>1</v>
      </c>
      <c r="M9" s="81">
        <f t="shared" si="5"/>
        <v>9.810150435913223E-2</v>
      </c>
      <c r="N9" s="87">
        <f t="shared" si="6"/>
        <v>0.40067995774807352</v>
      </c>
      <c r="O9" s="88">
        <f t="shared" si="7"/>
        <v>1</v>
      </c>
      <c r="P9" s="84">
        <f t="shared" si="8"/>
        <v>21286.00995890738</v>
      </c>
      <c r="Q9" s="85">
        <f t="shared" si="0"/>
        <v>1</v>
      </c>
      <c r="R9" s="86">
        <f t="shared" si="1"/>
        <v>19.863344048684343</v>
      </c>
      <c r="S9" s="94">
        <f t="shared" si="2"/>
        <v>587.70776154012299</v>
      </c>
      <c r="T9" s="80">
        <f t="shared" si="9"/>
        <v>419.02751155339109</v>
      </c>
      <c r="W9" s="73"/>
    </row>
    <row r="10" spans="1:24" x14ac:dyDescent="0.25">
      <c r="D10" s="18" t="s">
        <v>82</v>
      </c>
      <c r="E10" s="23">
        <f>_2045_PeakVolume/_2045_Capacity</f>
        <v>0.55154427709078124</v>
      </c>
      <c r="F10" s="28"/>
      <c r="H10" s="59">
        <f t="shared" si="3"/>
        <v>2024</v>
      </c>
      <c r="I10" s="97">
        <f t="shared" si="10"/>
        <v>7507.5026919404136</v>
      </c>
      <c r="J10" s="60">
        <f t="shared" si="4"/>
        <v>1045687.8749488433</v>
      </c>
      <c r="K10" s="60">
        <f>IF(H10=Year_Open_to_Traffic?,Calculations!$E$4,K9+(K9*M10))</f>
        <v>1022313.6753911637</v>
      </c>
      <c r="L10" s="60">
        <f>IF(AND(H10&gt;=Year_Open_to_Traffic?, Calculations!H10&lt;Year_Open_to_Traffic?+'Inputs &amp; Outputs'!B$21), 1, 0)</f>
        <v>1</v>
      </c>
      <c r="M10" s="81">
        <f t="shared" si="5"/>
        <v>9.810150435913223E-2</v>
      </c>
      <c r="N10" s="87">
        <f t="shared" si="6"/>
        <v>0.43998726436971308</v>
      </c>
      <c r="O10" s="88">
        <f t="shared" si="7"/>
        <v>1</v>
      </c>
      <c r="P10" s="84">
        <f>(J10-K10)*L10</f>
        <v>23374.199557679589</v>
      </c>
      <c r="Q10" s="85">
        <f t="shared" si="0"/>
        <v>1</v>
      </c>
      <c r="R10" s="86">
        <f t="shared" si="1"/>
        <v>20.320200961804083</v>
      </c>
      <c r="S10" s="94">
        <f t="shared" si="2"/>
        <v>660.2061209433723</v>
      </c>
      <c r="T10" s="80">
        <f t="shared" si="9"/>
        <v>439.92321480668011</v>
      </c>
      <c r="W10" s="73"/>
    </row>
    <row r="11" spans="1:24" ht="30" customHeight="1" x14ac:dyDescent="0.25">
      <c r="A11" s="154" t="s">
        <v>219</v>
      </c>
      <c r="B11" s="155"/>
      <c r="D11" s="18" t="s">
        <v>70</v>
      </c>
      <c r="E11" s="46">
        <f>(E9/E8)^(1/(2025-2018))-1</f>
        <v>9.810150435913223E-2</v>
      </c>
      <c r="F11" s="28"/>
      <c r="H11" s="15">
        <f t="shared" si="3"/>
        <v>2025</v>
      </c>
      <c r="I11" s="97">
        <f t="shared" si="10"/>
        <v>8244.0000000000036</v>
      </c>
      <c r="J11" s="60">
        <f t="shared" si="4"/>
        <v>1148271.4285714289</v>
      </c>
      <c r="K11" s="60">
        <f>IF(H11=Year_Open_to_Traffic?,Calculations!$E$4,K10+(K10*M11))</f>
        <v>1122604.1848739504</v>
      </c>
      <c r="L11" s="60">
        <f>IF(AND(H11&gt;=Year_Open_to_Traffic?, Calculations!H11&lt;Year_Open_to_Traffic?+'Inputs &amp; Outputs'!B$21), 1, 0)</f>
        <v>1</v>
      </c>
      <c r="M11" s="81">
        <f t="shared" si="5"/>
        <v>9.810150435913223E-2</v>
      </c>
      <c r="N11" s="87">
        <f t="shared" si="6"/>
        <v>0.48315067690324115</v>
      </c>
      <c r="O11" s="88">
        <f t="shared" si="7"/>
        <v>1</v>
      </c>
      <c r="P11" s="84">
        <f t="shared" si="8"/>
        <v>25667.243697478436</v>
      </c>
      <c r="Q11" s="85">
        <f t="shared" si="0"/>
        <v>1</v>
      </c>
      <c r="R11" s="86">
        <f t="shared" si="1"/>
        <v>20.787565583925574</v>
      </c>
      <c r="S11" s="94">
        <f t="shared" si="2"/>
        <v>741.64772129070741</v>
      </c>
      <c r="T11" s="80">
        <f t="shared" si="9"/>
        <v>461.86092700308319</v>
      </c>
      <c r="W11" s="73"/>
    </row>
    <row r="12" spans="1:24" x14ac:dyDescent="0.25">
      <c r="A12" s="18" t="s">
        <v>205</v>
      </c>
      <c r="B12" s="19">
        <v>0.45</v>
      </c>
      <c r="D12" s="18" t="s">
        <v>83</v>
      </c>
      <c r="E12" s="46">
        <f>(E10/E9)^(1/(2045-2025))-1</f>
        <v>6.6416362351036096E-3</v>
      </c>
      <c r="F12" s="28"/>
      <c r="H12" s="59">
        <v>2026</v>
      </c>
      <c r="I12" s="97">
        <f t="shared" si="10"/>
        <v>8298.7536491221981</v>
      </c>
      <c r="J12" s="60">
        <f t="shared" si="4"/>
        <v>1155897.8296991631</v>
      </c>
      <c r="K12" s="60">
        <f>IF(H12=Year_Open_to_Traffic?,Calculations!$E$4,K11+(K11*M12))</f>
        <v>1130060.1135058883</v>
      </c>
      <c r="L12" s="60">
        <f>IF(AND(H12&gt;=Year_Open_to_Traffic?, Calculations!H12&lt;Year_Open_to_Traffic?+'Inputs &amp; Outputs'!B$21), 1, 0)</f>
        <v>1</v>
      </c>
      <c r="M12" s="81">
        <f t="shared" ref="M12:M36" si="11">IFERROR(_2025_2045_Demand_Growth,_2018_2045_Demand_Growth)</f>
        <v>6.6416362351036096E-3</v>
      </c>
      <c r="N12" s="87">
        <f t="shared" ref="N12:N36" si="12">N11*(1+IFERROR(_2025_2045_V_C_Growth,_2018_2045_V_C_Growth))</f>
        <v>0.48635958794597656</v>
      </c>
      <c r="O12" s="88">
        <f t="shared" si="7"/>
        <v>1</v>
      </c>
      <c r="P12" s="84">
        <f t="shared" si="8"/>
        <v>25837.716193274828</v>
      </c>
      <c r="Q12" s="85">
        <f t="shared" si="0"/>
        <v>1</v>
      </c>
      <c r="R12" s="86">
        <f t="shared" si="1"/>
        <v>21.265679592355859</v>
      </c>
      <c r="S12" s="94">
        <f t="shared" si="2"/>
        <v>763.74466561052566</v>
      </c>
      <c r="T12" s="80">
        <f t="shared" si="9"/>
        <v>444.50634894830677</v>
      </c>
      <c r="W12" s="73"/>
    </row>
    <row r="13" spans="1:24" x14ac:dyDescent="0.25">
      <c r="A13" s="18" t="s">
        <v>206</v>
      </c>
      <c r="B13" s="19">
        <v>0.43</v>
      </c>
      <c r="D13" s="18" t="s">
        <v>84</v>
      </c>
      <c r="E13" s="46">
        <f>(E10/E8)^(1/(2045-2018))-1</f>
        <v>2.9595151467034952E-2</v>
      </c>
      <c r="F13" s="28"/>
      <c r="H13" s="15">
        <f t="shared" si="3"/>
        <v>2027</v>
      </c>
      <c r="I13" s="97">
        <f t="shared" si="10"/>
        <v>8353.8709520644061</v>
      </c>
      <c r="J13" s="60">
        <f t="shared" si="4"/>
        <v>1163574.8826089706</v>
      </c>
      <c r="K13" s="60">
        <f>IF(H13=Year_Open_to_Traffic?,Calculations!$E$4,K12+(K12*M13))</f>
        <v>1137565.5617035942</v>
      </c>
      <c r="L13" s="60">
        <f>IF(AND(H13&gt;=Year_Open_to_Traffic?, Calculations!H13&lt;Year_Open_to_Traffic?+'Inputs &amp; Outputs'!B$21), 1, 0)</f>
        <v>1</v>
      </c>
      <c r="M13" s="81">
        <f t="shared" si="11"/>
        <v>6.6416362351036096E-3</v>
      </c>
      <c r="N13" s="87">
        <f t="shared" si="12"/>
        <v>0.48958981140856861</v>
      </c>
      <c r="O13" s="88">
        <f t="shared" si="7"/>
        <v>1</v>
      </c>
      <c r="P13" s="84">
        <f t="shared" si="8"/>
        <v>26009.320905376459</v>
      </c>
      <c r="Q13" s="85">
        <f t="shared" si="0"/>
        <v>1</v>
      </c>
      <c r="R13" s="86">
        <f t="shared" si="1"/>
        <v>21.754790222980041</v>
      </c>
      <c r="S13" s="94">
        <f t="shared" si="2"/>
        <v>786.49997499270148</v>
      </c>
      <c r="T13" s="80">
        <f t="shared" si="9"/>
        <v>427.80387494011893</v>
      </c>
      <c r="W13" s="73"/>
    </row>
    <row r="14" spans="1:24" x14ac:dyDescent="0.25">
      <c r="H14" s="59">
        <f>H13+1</f>
        <v>2028</v>
      </c>
      <c r="I14" s="97">
        <f t="shared" si="10"/>
        <v>8409.3543240830168</v>
      </c>
      <c r="J14" s="60">
        <f t="shared" si="4"/>
        <v>1171302.9237115628</v>
      </c>
      <c r="K14" s="60">
        <f>IF(H14=Year_Open_to_Traffic?,Calculations!$E$4,K13+(K13*M14))</f>
        <v>1145120.8583580106</v>
      </c>
      <c r="L14" s="60">
        <f>IF(AND(H14&gt;=Year_Open_to_Traffic?, Calculations!H14&lt;Year_Open_to_Traffic?+'Inputs &amp; Outputs'!B$21), 1, 0)</f>
        <v>1</v>
      </c>
      <c r="M14" s="81">
        <f t="shared" si="11"/>
        <v>6.6416362351036096E-3</v>
      </c>
      <c r="N14" s="87">
        <f t="shared" si="12"/>
        <v>0.49284148884035728</v>
      </c>
      <c r="O14" s="88">
        <f t="shared" si="7"/>
        <v>1</v>
      </c>
      <c r="P14" s="84">
        <f t="shared" si="8"/>
        <v>26182.065353552112</v>
      </c>
      <c r="Q14" s="85">
        <f t="shared" si="0"/>
        <v>1</v>
      </c>
      <c r="R14" s="86">
        <f t="shared" si="1"/>
        <v>22.255150398108579</v>
      </c>
      <c r="S14" s="94">
        <f t="shared" si="2"/>
        <v>809.93326502520995</v>
      </c>
      <c r="T14" s="80">
        <f t="shared" si="9"/>
        <v>411.72900195192625</v>
      </c>
      <c r="W14" s="73"/>
    </row>
    <row r="15" spans="1:24" x14ac:dyDescent="0.25">
      <c r="H15" s="15">
        <f t="shared" si="3"/>
        <v>2029</v>
      </c>
      <c r="I15" s="97">
        <f t="shared" si="10"/>
        <v>8465.2061964756722</v>
      </c>
      <c r="J15" s="60">
        <f t="shared" si="4"/>
        <v>1179082.2916519684</v>
      </c>
      <c r="K15" s="60">
        <f>IF(H15=Year_Open_to_Traffic?,Calculations!$E$4,K14+(K14*M15))</f>
        <v>1152726.3345444542</v>
      </c>
      <c r="L15" s="60">
        <f>IF(AND(H15&gt;=Year_Open_to_Traffic?, Calculations!H15&lt;Year_Open_to_Traffic?+'Inputs &amp; Outputs'!B$21), 1, 0)</f>
        <v>1</v>
      </c>
      <c r="M15" s="81">
        <f t="shared" si="11"/>
        <v>6.6416362351036096E-3</v>
      </c>
      <c r="N15" s="87">
        <f t="shared" si="12"/>
        <v>0.49611476273080179</v>
      </c>
      <c r="O15" s="88">
        <f t="shared" si="7"/>
        <v>1</v>
      </c>
      <c r="P15" s="84">
        <f t="shared" si="8"/>
        <v>26355.957107514143</v>
      </c>
      <c r="Q15" s="85">
        <f t="shared" si="0"/>
        <v>1</v>
      </c>
      <c r="R15" s="86">
        <f t="shared" si="1"/>
        <v>22.767018857265079</v>
      </c>
      <c r="S15" s="94">
        <f t="shared" si="2"/>
        <v>834.06473573058122</v>
      </c>
      <c r="T15" s="80">
        <f t="shared" si="9"/>
        <v>396.2581476665153</v>
      </c>
      <c r="W15" s="73"/>
    </row>
    <row r="16" spans="1:24" x14ac:dyDescent="0.25">
      <c r="H16" s="59">
        <f t="shared" si="3"/>
        <v>2030</v>
      </c>
      <c r="I16" s="97">
        <f t="shared" si="10"/>
        <v>8521.4290166878091</v>
      </c>
      <c r="J16" s="60">
        <f t="shared" si="4"/>
        <v>1186913.3273243732</v>
      </c>
      <c r="K16" s="60">
        <f>IF(H16=Year_Open_to_Traffic?,Calculations!$E$4,K15+(K15*M16))</f>
        <v>1160382.3235371229</v>
      </c>
      <c r="L16" s="60">
        <f>IF(AND(H16&gt;=Year_Open_to_Traffic?, Calculations!H16&lt;Year_Open_to_Traffic?+'Inputs &amp; Outputs'!B$21), 1, 0)</f>
        <v>1</v>
      </c>
      <c r="M16" s="81">
        <f t="shared" si="11"/>
        <v>6.6416362351036096E-3</v>
      </c>
      <c r="N16" s="87">
        <f t="shared" si="12"/>
        <v>0.49940977651572449</v>
      </c>
      <c r="O16" s="88">
        <f t="shared" si="7"/>
        <v>1</v>
      </c>
      <c r="P16" s="84">
        <f t="shared" si="8"/>
        <v>26531.003787250258</v>
      </c>
      <c r="Q16" s="85">
        <f t="shared" si="0"/>
        <v>1</v>
      </c>
      <c r="R16" s="86">
        <f t="shared" si="1"/>
        <v>23.290660290982171</v>
      </c>
      <c r="S16" s="94">
        <f t="shared" si="2"/>
        <v>858.91518897877404</v>
      </c>
      <c r="T16" s="80">
        <f t="shared" si="9"/>
        <v>381.36861588009185</v>
      </c>
      <c r="W16" s="73"/>
    </row>
    <row r="17" spans="1:23" x14ac:dyDescent="0.25">
      <c r="A17" s="29"/>
      <c r="H17" s="15">
        <f t="shared" si="3"/>
        <v>2031</v>
      </c>
      <c r="I17" s="97">
        <f t="shared" si="10"/>
        <v>8578.0252484199063</v>
      </c>
      <c r="J17" s="60">
        <f t="shared" si="4"/>
        <v>1194796.3738870581</v>
      </c>
      <c r="K17" s="60">
        <f>IF(H17=Year_Open_to_Traffic?,Calculations!$E$4,K16+(K16*M17))</f>
        <v>1168089.1608237007</v>
      </c>
      <c r="L17" s="60">
        <f>IF(AND(H17&gt;=Year_Open_to_Traffic?, Calculations!H17&lt;Year_Open_to_Traffic?+'Inputs &amp; Outputs'!B$21), 1, 0)</f>
        <v>1</v>
      </c>
      <c r="M17" s="81">
        <f t="shared" si="11"/>
        <v>6.6416362351036096E-3</v>
      </c>
      <c r="N17" s="87">
        <f t="shared" si="12"/>
        <v>0.50272667458359632</v>
      </c>
      <c r="O17" s="88">
        <f t="shared" si="7"/>
        <v>1</v>
      </c>
      <c r="P17" s="84">
        <f t="shared" si="8"/>
        <v>26707.213063357398</v>
      </c>
      <c r="Q17" s="85">
        <f t="shared" si="0"/>
        <v>1</v>
      </c>
      <c r="R17" s="86">
        <f t="shared" si="1"/>
        <v>23.82634547767476</v>
      </c>
      <c r="S17" s="94">
        <f t="shared" si="2"/>
        <v>884.50604641885627</v>
      </c>
      <c r="T17" s="80">
        <f t="shared" si="9"/>
        <v>367.03856320627392</v>
      </c>
      <c r="W17" s="73"/>
    </row>
    <row r="18" spans="1:23" x14ac:dyDescent="0.25">
      <c r="H18" s="59">
        <f t="shared" si="3"/>
        <v>2032</v>
      </c>
      <c r="I18" s="97">
        <f t="shared" si="10"/>
        <v>8634.997371735446</v>
      </c>
      <c r="J18" s="60">
        <f t="shared" si="4"/>
        <v>1202731.7767774367</v>
      </c>
      <c r="K18" s="60">
        <f>IF(H18=Year_Open_to_Traffic?,Calculations!$E$4,K17+(K17*M18))</f>
        <v>1175847.1841200592</v>
      </c>
      <c r="L18" s="60">
        <f>IF(AND(H18&gt;=Year_Open_to_Traffic?, Calculations!H18&lt;Year_Open_to_Traffic?+'Inputs &amp; Outputs'!B$21), 1, 0)</f>
        <v>1</v>
      </c>
      <c r="M18" s="81">
        <f t="shared" si="11"/>
        <v>6.6416362351036096E-3</v>
      </c>
      <c r="N18" s="87">
        <f t="shared" si="12"/>
        <v>0.50606560228186392</v>
      </c>
      <c r="O18" s="88">
        <f t="shared" si="7"/>
        <v>1</v>
      </c>
      <c r="P18" s="84">
        <f t="shared" si="8"/>
        <v>26884.592657377478</v>
      </c>
      <c r="Q18" s="85">
        <f t="shared" si="0"/>
        <v>1</v>
      </c>
      <c r="R18" s="86">
        <f t="shared" si="1"/>
        <v>24.374351423661277</v>
      </c>
      <c r="S18" s="94">
        <f t="shared" si="2"/>
        <v>910.85936794493409</v>
      </c>
      <c r="T18" s="80">
        <f t="shared" si="9"/>
        <v>353.24696703118872</v>
      </c>
      <c r="W18" s="73"/>
    </row>
    <row r="19" spans="1:23" x14ac:dyDescent="0.25">
      <c r="H19" s="15">
        <f t="shared" si="3"/>
        <v>2033</v>
      </c>
      <c r="I19" s="97">
        <f t="shared" si="10"/>
        <v>8692.3478831695884</v>
      </c>
      <c r="J19" s="60">
        <f t="shared" si="4"/>
        <v>1210719.8837271922</v>
      </c>
      <c r="K19" s="60">
        <f>IF(H19=Year_Open_to_Traffic?,Calculations!$E$4,K18+(K18*M19))</f>
        <v>1183656.7333850556</v>
      </c>
      <c r="L19" s="60">
        <f>IF(AND(H19&gt;=Year_Open_to_Traffic?, Calculations!H19&lt;Year_Open_to_Traffic?+'Inputs &amp; Outputs'!B$21), 1, 0)</f>
        <v>1</v>
      </c>
      <c r="M19" s="81">
        <f t="shared" si="11"/>
        <v>6.6416362351036096E-3</v>
      </c>
      <c r="N19" s="87">
        <f t="shared" si="12"/>
        <v>0.50942670592331873</v>
      </c>
      <c r="O19" s="88">
        <f t="shared" si="7"/>
        <v>1</v>
      </c>
      <c r="P19" s="84">
        <f t="shared" si="8"/>
        <v>27063.150342136621</v>
      </c>
      <c r="Q19" s="85">
        <f t="shared" si="0"/>
        <v>1</v>
      </c>
      <c r="R19" s="86">
        <f t="shared" si="1"/>
        <v>24.934961506405479</v>
      </c>
      <c r="S19" s="94">
        <f t="shared" si="2"/>
        <v>937.9978707123048</v>
      </c>
      <c r="T19" s="80">
        <f t="shared" si="9"/>
        <v>339.97359467268359</v>
      </c>
      <c r="W19" s="73"/>
    </row>
    <row r="20" spans="1:23" x14ac:dyDescent="0.25">
      <c r="H20" s="59">
        <f t="shared" si="3"/>
        <v>2034</v>
      </c>
      <c r="I20" s="97">
        <f t="shared" si="10"/>
        <v>8750.0792958385737</v>
      </c>
      <c r="J20" s="60">
        <f t="shared" si="4"/>
        <v>1218761.0447775151</v>
      </c>
      <c r="K20" s="60">
        <f>IF(H20=Year_Open_to_Traffic?,Calculations!$E$4,K19+(K19*M20))</f>
        <v>1191518.15083543</v>
      </c>
      <c r="L20" s="60">
        <f>IF(AND(H20&gt;=Year_Open_to_Traffic?, Calculations!H20&lt;Year_Open_to_Traffic?+'Inputs &amp; Outputs'!B$21), 1, 0)</f>
        <v>1</v>
      </c>
      <c r="M20" s="81">
        <f t="shared" si="11"/>
        <v>6.6416362351036096E-3</v>
      </c>
      <c r="N20" s="87">
        <f t="shared" si="12"/>
        <v>0.51281013279250853</v>
      </c>
      <c r="O20" s="88">
        <f t="shared" si="7"/>
        <v>1</v>
      </c>
      <c r="P20" s="84">
        <f t="shared" si="8"/>
        <v>27242.893942085095</v>
      </c>
      <c r="Q20" s="85">
        <f t="shared" si="0"/>
        <v>1</v>
      </c>
      <c r="R20" s="86">
        <f t="shared" si="1"/>
        <v>25.508465621052807</v>
      </c>
      <c r="S20" s="94">
        <f t="shared" si="2"/>
        <v>965.94494872013479</v>
      </c>
      <c r="T20" s="80">
        <f t="shared" si="9"/>
        <v>327.1989736983702</v>
      </c>
      <c r="W20" s="73"/>
    </row>
    <row r="21" spans="1:23" x14ac:dyDescent="0.25">
      <c r="H21" s="15">
        <f t="shared" si="3"/>
        <v>2035</v>
      </c>
      <c r="I21" s="97">
        <f t="shared" si="10"/>
        <v>8808.1941395498452</v>
      </c>
      <c r="J21" s="60">
        <f t="shared" si="4"/>
        <v>1226855.6122944423</v>
      </c>
      <c r="K21" s="60">
        <f>IF(H21=Year_Open_to_Traffic?,Calculations!$E$4,K20+(K20*M21))</f>
        <v>1199431.7809608022</v>
      </c>
      <c r="L21" s="60">
        <f>IF(AND(H21&gt;=Year_Open_to_Traffic?, Calculations!H21&lt;Year_Open_to_Traffic?+'Inputs &amp; Outputs'!B$21), 1, 0)</f>
        <v>1</v>
      </c>
      <c r="M21" s="81">
        <f t="shared" si="11"/>
        <v>6.6416362351036096E-3</v>
      </c>
      <c r="N21" s="87">
        <f t="shared" si="12"/>
        <v>0.5162160311521915</v>
      </c>
      <c r="O21" s="88">
        <f t="shared" si="7"/>
        <v>1</v>
      </c>
      <c r="P21" s="84">
        <f t="shared" si="8"/>
        <v>27423.831333640032</v>
      </c>
      <c r="Q21" s="85">
        <f t="shared" si="0"/>
        <v>1</v>
      </c>
      <c r="R21" s="86">
        <f t="shared" si="1"/>
        <v>26.095160330337016</v>
      </c>
      <c r="S21" s="94">
        <f t="shared" si="2"/>
        <v>994.72469297760472</v>
      </c>
      <c r="T21" s="80">
        <f t="shared" si="9"/>
        <v>314.90436335898431</v>
      </c>
      <c r="W21" s="73"/>
    </row>
    <row r="22" spans="1:23" x14ac:dyDescent="0.25">
      <c r="H22" s="59">
        <f>H21+1</f>
        <v>2036</v>
      </c>
      <c r="I22" s="97">
        <f t="shared" si="10"/>
        <v>8866.694960912906</v>
      </c>
      <c r="J22" s="60">
        <f t="shared" si="4"/>
        <v>1235003.9409842973</v>
      </c>
      <c r="K22" s="60">
        <f>IF(H22=Year_Open_to_Traffic?,Calculations!$E$4,K21+(K21*M22))</f>
        <v>1207397.9705387664</v>
      </c>
      <c r="L22" s="60">
        <f>IF(AND(H22&gt;=Year_Open_to_Traffic?, Calculations!H22&lt;Year_Open_to_Traffic?+'Inputs &amp; Outputs'!B$21), 1, 0)</f>
        <v>1</v>
      </c>
      <c r="M22" s="81">
        <f t="shared" si="11"/>
        <v>6.6416362351036096E-3</v>
      </c>
      <c r="N22" s="87">
        <f t="shared" si="12"/>
        <v>0.51964455024983325</v>
      </c>
      <c r="O22" s="88">
        <f t="shared" si="7"/>
        <v>1</v>
      </c>
      <c r="P22" s="84">
        <f t="shared" si="8"/>
        <v>27605.970445530955</v>
      </c>
      <c r="Q22" s="85">
        <f t="shared" si="0"/>
        <v>1</v>
      </c>
      <c r="R22" s="86">
        <f t="shared" si="1"/>
        <v>26.695349017934767</v>
      </c>
      <c r="S22" s="94">
        <f t="shared" si="2"/>
        <v>1024.3619122709149</v>
      </c>
      <c r="T22" s="80">
        <f t="shared" si="9"/>
        <v>303.07172709515436</v>
      </c>
      <c r="W22" s="73"/>
    </row>
    <row r="23" spans="1:23" x14ac:dyDescent="0.25">
      <c r="H23" s="15">
        <f t="shared" si="3"/>
        <v>2037</v>
      </c>
      <c r="I23" s="97">
        <f t="shared" si="10"/>
        <v>8925.5843234509157</v>
      </c>
      <c r="J23" s="60">
        <f t="shared" si="4"/>
        <v>1243206.3879092343</v>
      </c>
      <c r="K23" s="60">
        <f>IF(H23=Year_Open_to_Traffic?,Calculations!$E$4,K22+(K22*M23))</f>
        <v>1215417.0686500871</v>
      </c>
      <c r="L23" s="60">
        <f>IF(AND(H23&gt;=Year_Open_to_Traffic?, Calculations!H23&lt;Year_Open_to_Traffic?+'Inputs &amp; Outputs'!B$21), 1, 0)</f>
        <v>1</v>
      </c>
      <c r="M23" s="81">
        <f t="shared" si="11"/>
        <v>6.6416362351036096E-3</v>
      </c>
      <c r="N23" s="87">
        <f t="shared" si="12"/>
        <v>0.52309584032414669</v>
      </c>
      <c r="O23" s="88">
        <f t="shared" si="7"/>
        <v>1</v>
      </c>
      <c r="P23" s="84">
        <f t="shared" si="8"/>
        <v>27789.31925914716</v>
      </c>
      <c r="Q23" s="85">
        <f t="shared" si="0"/>
        <v>1</v>
      </c>
      <c r="R23" s="86">
        <f t="shared" si="1"/>
        <v>27.309342045347261</v>
      </c>
      <c r="S23" s="94">
        <f t="shared" si="2"/>
        <v>1054.8821545490143</v>
      </c>
      <c r="T23" s="80">
        <f t="shared" si="9"/>
        <v>291.68370607723068</v>
      </c>
      <c r="W23" s="73"/>
    </row>
    <row r="24" spans="1:23" x14ac:dyDescent="0.25">
      <c r="H24" s="59">
        <f t="shared" si="3"/>
        <v>2038</v>
      </c>
      <c r="I24" s="97">
        <f t="shared" si="10"/>
        <v>8984.8648077130201</v>
      </c>
      <c r="J24" s="60">
        <f t="shared" si="4"/>
        <v>1251463.3125028845</v>
      </c>
      <c r="K24" s="60">
        <f>IF(H24=Year_Open_to_Traffic?,Calculations!$E$4,K23+(K23*M24))</f>
        <v>1223489.4266939969</v>
      </c>
      <c r="L24" s="60">
        <f>IF(AND(H24&gt;=Year_Open_to_Traffic?, Calculations!H24&lt;Year_Open_to_Traffic?+'Inputs &amp; Outputs'!B$21), 1, 0)</f>
        <v>1</v>
      </c>
      <c r="M24" s="81">
        <f t="shared" si="11"/>
        <v>6.6416362351036096E-3</v>
      </c>
      <c r="N24" s="87">
        <f t="shared" si="12"/>
        <v>0.52657005261167555</v>
      </c>
      <c r="O24" s="88">
        <f t="shared" si="7"/>
        <v>1</v>
      </c>
      <c r="P24" s="84">
        <f>(J24-K24)*L24</f>
        <v>27973.885808887659</v>
      </c>
      <c r="Q24" s="85">
        <f t="shared" si="0"/>
        <v>1</v>
      </c>
      <c r="R24" s="86">
        <f t="shared" si="1"/>
        <v>27.93745691239025</v>
      </c>
      <c r="S24" s="94">
        <f t="shared" si="2"/>
        <v>1086.3117289465142</v>
      </c>
      <c r="T24" s="80">
        <f t="shared" si="9"/>
        <v>280.72359373936786</v>
      </c>
      <c r="W24" s="73"/>
    </row>
    <row r="25" spans="1:23" x14ac:dyDescent="0.25">
      <c r="H25" s="15">
        <f t="shared" si="3"/>
        <v>2039</v>
      </c>
      <c r="I25" s="97">
        <f t="shared" si="10"/>
        <v>9044.5390113874346</v>
      </c>
      <c r="J25" s="60">
        <f t="shared" si="4"/>
        <v>1259775.0765861066</v>
      </c>
      <c r="K25" s="60">
        <f>IF(H25=Year_Open_to_Traffic?,Calculations!$E$4,K24+(K24*M25))</f>
        <v>1231615.3984035938</v>
      </c>
      <c r="L25" s="60">
        <f>IF(AND(H25&gt;=Year_Open_to_Traffic?, Calculations!H25&lt;Year_Open_to_Traffic?+'Inputs &amp; Outputs'!B$21), 1, 0)</f>
        <v>1</v>
      </c>
      <c r="M25" s="81">
        <f t="shared" si="11"/>
        <v>6.6416362351036096E-3</v>
      </c>
      <c r="N25" s="87">
        <f t="shared" si="12"/>
        <v>0.53006733935342165</v>
      </c>
      <c r="O25" s="88">
        <f t="shared" si="7"/>
        <v>1</v>
      </c>
      <c r="P25" s="84">
        <f t="shared" si="8"/>
        <v>28159.678182512755</v>
      </c>
      <c r="Q25" s="85">
        <f t="shared" si="0"/>
        <v>1</v>
      </c>
      <c r="R25" s="86">
        <f t="shared" si="1"/>
        <v>28.580018421375218</v>
      </c>
      <c r="S25" s="94">
        <f t="shared" si="2"/>
        <v>1118.6777284627349</v>
      </c>
      <c r="T25" s="80">
        <f t="shared" si="9"/>
        <v>270.17531127048943</v>
      </c>
      <c r="W25" s="73"/>
    </row>
    <row r="26" spans="1:23" x14ac:dyDescent="0.25">
      <c r="H26" s="59">
        <f t="shared" si="3"/>
        <v>2040</v>
      </c>
      <c r="I26" s="97">
        <f t="shared" si="10"/>
        <v>9104.6095494152742</v>
      </c>
      <c r="J26" s="60">
        <f t="shared" si="4"/>
        <v>1268142.0443828413</v>
      </c>
      <c r="K26" s="60">
        <f>IF(H26=Year_Open_to_Traffic?,Calculations!$E$4,K25+(K25*M26))</f>
        <v>1239795.3398613427</v>
      </c>
      <c r="L26" s="60">
        <f>IF(AND(H26&gt;=Year_Open_to_Traffic?, Calculations!H26&lt;Year_Open_to_Traffic?+'Inputs &amp; Outputs'!B$21), 1, 0)</f>
        <v>1</v>
      </c>
      <c r="M26" s="81">
        <f t="shared" si="11"/>
        <v>6.6416362351036096E-3</v>
      </c>
      <c r="N26" s="87">
        <f t="shared" si="12"/>
        <v>0.5335878538015163</v>
      </c>
      <c r="O26" s="88">
        <f t="shared" si="7"/>
        <v>1</v>
      </c>
      <c r="P26" s="84">
        <f t="shared" si="8"/>
        <v>28346.704521498643</v>
      </c>
      <c r="Q26" s="85">
        <f t="shared" si="0"/>
        <v>1</v>
      </c>
      <c r="R26" s="86">
        <f t="shared" si="1"/>
        <v>29.237358845066851</v>
      </c>
      <c r="S26" s="94">
        <f t="shared" si="2"/>
        <v>1152.0080533164871</v>
      </c>
      <c r="T26" s="80">
        <f t="shared" si="9"/>
        <v>260.02338402619677</v>
      </c>
      <c r="W26" s="73"/>
    </row>
    <row r="27" spans="1:23" x14ac:dyDescent="0.25">
      <c r="H27" s="15">
        <f t="shared" si="3"/>
        <v>2041</v>
      </c>
      <c r="I27" s="97">
        <f t="shared" si="10"/>
        <v>9165.079054105141</v>
      </c>
      <c r="J27" s="60">
        <f t="shared" si="4"/>
        <v>1276564.5825360727</v>
      </c>
      <c r="K27" s="60">
        <f>IF(H27=Year_Open_to_Traffic?,Calculations!$E$4,K26+(K26*M27))</f>
        <v>1248029.6095146784</v>
      </c>
      <c r="L27" s="60">
        <f>IF(AND(H27&gt;=Year_Open_to_Traffic?, Calculations!H27&lt;Year_Open_to_Traffic?+'Inputs &amp; Outputs'!B$21), 1, 0)</f>
        <v>1</v>
      </c>
      <c r="M27" s="81">
        <f t="shared" si="11"/>
        <v>6.6416362351036096E-3</v>
      </c>
      <c r="N27" s="87">
        <f t="shared" si="12"/>
        <v>0.53713175022593562</v>
      </c>
      <c r="O27" s="88">
        <f t="shared" si="7"/>
        <v>1</v>
      </c>
      <c r="P27" s="84">
        <f t="shared" si="8"/>
        <v>28534.97302139434</v>
      </c>
      <c r="Q27" s="85">
        <f t="shared" si="0"/>
        <v>1</v>
      </c>
      <c r="R27" s="86">
        <f t="shared" si="1"/>
        <v>29.909818098503379</v>
      </c>
      <c r="S27" s="94">
        <f t="shared" si="2"/>
        <v>1186.3314349966925</v>
      </c>
      <c r="T27" s="80">
        <f t="shared" si="9"/>
        <v>250.25291882700537</v>
      </c>
      <c r="W27" s="73"/>
    </row>
    <row r="28" spans="1:23" x14ac:dyDescent="0.25">
      <c r="H28" s="59">
        <f t="shared" si="3"/>
        <v>2042</v>
      </c>
      <c r="I28" s="97">
        <f t="shared" si="10"/>
        <v>9225.9501752484757</v>
      </c>
      <c r="J28" s="60">
        <f t="shared" si="4"/>
        <v>1285043.0601238941</v>
      </c>
      <c r="K28" s="60">
        <f>IF(H28=Year_Open_to_Traffic?,Calculations!$E$4,K27+(K27*M28))</f>
        <v>1256318.5681917132</v>
      </c>
      <c r="L28" s="60">
        <f>IF(AND(H28&gt;=Year_Open_to_Traffic?, Calculations!H28&lt;Year_Open_to_Traffic?+'Inputs &amp; Outputs'!B$21), 1, 0)</f>
        <v>1</v>
      </c>
      <c r="M28" s="81">
        <f t="shared" si="11"/>
        <v>6.6416362351036096E-3</v>
      </c>
      <c r="N28" s="87">
        <f t="shared" si="12"/>
        <v>0.54069918392126082</v>
      </c>
      <c r="O28" s="88">
        <f t="shared" si="7"/>
        <v>1</v>
      </c>
      <c r="P28" s="84">
        <f t="shared" si="8"/>
        <v>28724.491932180943</v>
      </c>
      <c r="Q28" s="85">
        <f t="shared" si="0"/>
        <v>1</v>
      </c>
      <c r="R28" s="86">
        <f t="shared" si="1"/>
        <v>30.597743914768959</v>
      </c>
      <c r="S28" s="94">
        <f t="shared" si="2"/>
        <v>1221.6774610295802</v>
      </c>
      <c r="T28" s="80">
        <f t="shared" si="9"/>
        <v>240.84958210960912</v>
      </c>
      <c r="W28" s="73"/>
    </row>
    <row r="29" spans="1:23" x14ac:dyDescent="0.25">
      <c r="H29" s="15">
        <f t="shared" si="3"/>
        <v>2043</v>
      </c>
      <c r="I29" s="97">
        <f t="shared" si="10"/>
        <v>9287.2255802356667</v>
      </c>
      <c r="J29" s="60">
        <f t="shared" si="4"/>
        <v>1293577.8486756815</v>
      </c>
      <c r="K29" s="60">
        <f>IF(H29=Year_Open_to_Traffic?,Calculations!$E$4,K28+(K28*M29))</f>
        <v>1264662.5791170488</v>
      </c>
      <c r="L29" s="60">
        <f>IF(AND(H29&gt;=Year_Open_to_Traffic?, Calculations!H29&lt;Year_Open_to_Traffic?+'Inputs &amp; Outputs'!B$21), 1, 0)</f>
        <v>1</v>
      </c>
      <c r="M29" s="81">
        <f t="shared" si="11"/>
        <v>6.6416362351036096E-3</v>
      </c>
      <c r="N29" s="87">
        <f t="shared" si="12"/>
        <v>0.54429031121348326</v>
      </c>
      <c r="O29" s="88">
        <f t="shared" si="7"/>
        <v>1</v>
      </c>
      <c r="P29" s="84">
        <f t="shared" si="8"/>
        <v>28915.269558632746</v>
      </c>
      <c r="Q29" s="85">
        <f t="shared" si="0"/>
        <v>1</v>
      </c>
      <c r="R29" s="86">
        <f t="shared" si="1"/>
        <v>31.301492024808638</v>
      </c>
      <c r="S29" s="94">
        <f t="shared" si="2"/>
        <v>1258.0766004837815</v>
      </c>
      <c r="T29" s="80">
        <f t="shared" si="9"/>
        <v>231.79957889911194</v>
      </c>
      <c r="W29" s="73"/>
    </row>
    <row r="30" spans="1:23" x14ac:dyDescent="0.25">
      <c r="H30" s="15">
        <f t="shared" si="3"/>
        <v>2044</v>
      </c>
      <c r="I30" s="97">
        <f t="shared" si="10"/>
        <v>9348.9079541729407</v>
      </c>
      <c r="J30" s="60">
        <f t="shared" si="4"/>
        <v>1302169.3221883732</v>
      </c>
      <c r="K30" s="60">
        <f>IF(H30=Year_Open_to_Traffic?,Calculations!$E$4,K29+(K29*M30))</f>
        <v>1273062.007927692</v>
      </c>
      <c r="L30" s="60">
        <f>IF(AND(H30&gt;=Year_Open_to_Traffic?, Calculations!H30&lt;Year_Open_to_Traffic?+'Inputs &amp; Outputs'!B$21), 1, 0)</f>
        <v>1</v>
      </c>
      <c r="M30" s="81">
        <f t="shared" si="11"/>
        <v>6.6416362351036096E-3</v>
      </c>
      <c r="N30" s="87">
        <f t="shared" si="12"/>
        <v>0.54790528946685457</v>
      </c>
      <c r="O30" s="88">
        <f t="shared" si="7"/>
        <v>1</v>
      </c>
      <c r="P30" s="84">
        <f t="shared" si="8"/>
        <v>29107.31426068116</v>
      </c>
      <c r="Q30" s="85">
        <f t="shared" si="0"/>
        <v>1</v>
      </c>
      <c r="R30" s="86">
        <f t="shared" si="1"/>
        <v>32.021426341379232</v>
      </c>
      <c r="S30" s="94">
        <f t="shared" si="2"/>
        <v>1295.5602302353529</v>
      </c>
      <c r="T30" s="80">
        <f t="shared" si="9"/>
        <v>223.08963257138984</v>
      </c>
      <c r="W30" s="73"/>
    </row>
    <row r="31" spans="1:23" x14ac:dyDescent="0.25">
      <c r="H31" s="15">
        <f t="shared" si="3"/>
        <v>2045</v>
      </c>
      <c r="I31" s="97">
        <f t="shared" si="10"/>
        <v>9411.0000000000236</v>
      </c>
      <c r="J31" s="60">
        <f t="shared" si="4"/>
        <v>1310817.8571428598</v>
      </c>
      <c r="K31" s="60">
        <f>IF(H31=Year_Open_to_Traffic?,Calculations!$E$4,K30+(K30*M31))</f>
        <v>1281517.2226890784</v>
      </c>
      <c r="L31" s="60">
        <f>IF(AND(H31&gt;=Year_Open_to_Traffic?, Calculations!H31&lt;Year_Open_to_Traffic?+'Inputs &amp; Outputs'!B$21), 1, 0)</f>
        <v>1</v>
      </c>
      <c r="M31" s="81">
        <f t="shared" si="11"/>
        <v>6.6416362351036096E-3</v>
      </c>
      <c r="N31" s="87">
        <f t="shared" si="12"/>
        <v>0.55154427709078258</v>
      </c>
      <c r="O31" s="88">
        <f t="shared" si="7"/>
        <v>1</v>
      </c>
      <c r="P31" s="84">
        <f t="shared" si="8"/>
        <v>29300.634453781415</v>
      </c>
      <c r="Q31" s="85">
        <f t="shared" si="0"/>
        <v>1</v>
      </c>
      <c r="R31" s="86">
        <f t="shared" si="1"/>
        <v>32.757919147230957</v>
      </c>
      <c r="S31" s="94">
        <f t="shared" si="2"/>
        <v>1334.1606620153625</v>
      </c>
      <c r="T31" s="80">
        <f t="shared" si="9"/>
        <v>214.70696537589063</v>
      </c>
      <c r="W31" s="73"/>
    </row>
    <row r="32" spans="1:23" x14ac:dyDescent="0.25">
      <c r="H32" s="15">
        <f t="shared" si="3"/>
        <v>2046</v>
      </c>
      <c r="I32" s="97">
        <f t="shared" si="10"/>
        <v>9473.5044386085847</v>
      </c>
      <c r="J32" s="60">
        <f t="shared" si="4"/>
        <v>1319523.8325204807</v>
      </c>
      <c r="K32" s="60">
        <f>IF(H32=Year_Open_to_Traffic?,Calculations!$E$4,K31+(K31*M32))</f>
        <v>1290028.5939111996</v>
      </c>
      <c r="L32" s="60">
        <f>IF(AND(H32&gt;=Year_Open_to_Traffic?, Calculations!H32&lt;Year_Open_to_Traffic?+'Inputs &amp; Outputs'!B$21), 1, 0)</f>
        <v>1</v>
      </c>
      <c r="M32" s="81">
        <f t="shared" si="11"/>
        <v>6.6416362351036096E-3</v>
      </c>
      <c r="N32" s="87">
        <f t="shared" si="12"/>
        <v>0.55520743354677271</v>
      </c>
      <c r="O32" s="88">
        <f t="shared" si="7"/>
        <v>1</v>
      </c>
      <c r="P32" s="84">
        <f t="shared" si="8"/>
        <v>29495.238609281136</v>
      </c>
      <c r="Q32" s="85">
        <f t="shared" si="0"/>
        <v>1</v>
      </c>
      <c r="R32" s="86">
        <f t="shared" si="1"/>
        <v>33.511351287617266</v>
      </c>
      <c r="S32" s="94">
        <f t="shared" si="2"/>
        <v>1373.9111702633195</v>
      </c>
      <c r="T32" s="80">
        <f t="shared" si="9"/>
        <v>206.63927969029194</v>
      </c>
      <c r="W32" s="73"/>
    </row>
    <row r="33" spans="8:23" x14ac:dyDescent="0.25">
      <c r="H33" s="15">
        <f t="shared" si="3"/>
        <v>2047</v>
      </c>
      <c r="I33" s="97">
        <f t="shared" si="10"/>
        <v>9536.4240089614632</v>
      </c>
      <c r="J33" s="60">
        <f t="shared" si="4"/>
        <v>1328287.6298196316</v>
      </c>
      <c r="K33" s="60">
        <f>IF(H33=Year_Open_to_Traffic?,Calculations!$E$4,K32+(K32*M33))</f>
        <v>1298596.4945648399</v>
      </c>
      <c r="L33" s="60">
        <f>IF(AND(H33&gt;=Year_Open_to_Traffic?, Calculations!H33&lt;Year_Open_to_Traffic?+'Inputs &amp; Outputs'!B$21), 1, 0)</f>
        <v>1</v>
      </c>
      <c r="M33" s="81">
        <f t="shared" si="11"/>
        <v>6.6416362351036096E-3</v>
      </c>
      <c r="N33" s="87">
        <f t="shared" si="12"/>
        <v>0.5588949193554158</v>
      </c>
      <c r="O33" s="88">
        <f t="shared" si="7"/>
        <v>1</v>
      </c>
      <c r="P33" s="84">
        <f t="shared" si="8"/>
        <v>29691.135254791705</v>
      </c>
      <c r="Q33" s="85">
        <f t="shared" si="0"/>
        <v>1</v>
      </c>
      <c r="R33" s="86">
        <f t="shared" si="1"/>
        <v>34.282112367232457</v>
      </c>
      <c r="S33" s="94">
        <f t="shared" si="2"/>
        <v>1414.8460208104982</v>
      </c>
      <c r="T33" s="80">
        <f t="shared" si="9"/>
        <v>198.87473997952418</v>
      </c>
      <c r="W33" s="73"/>
    </row>
    <row r="34" spans="8:23" x14ac:dyDescent="0.25">
      <c r="H34" s="15">
        <f t="shared" si="3"/>
        <v>2048</v>
      </c>
      <c r="I34" s="97">
        <f t="shared" si="10"/>
        <v>9599.7614682126932</v>
      </c>
      <c r="J34" s="60">
        <f t="shared" si="4"/>
        <v>1337109.6330724815</v>
      </c>
      <c r="K34" s="60">
        <f>IF(H34=Year_Open_to_Traffic?,Calculations!$E$4,K33+(K33*M34))</f>
        <v>1307221.3000979202</v>
      </c>
      <c r="L34" s="60">
        <f>IF(AND(H34&gt;=Year_Open_to_Traffic?, Calculations!H34&lt;Year_Open_to_Traffic?+'Inputs &amp; Outputs'!B$21), 1, 0)</f>
        <v>1</v>
      </c>
      <c r="M34" s="81">
        <f t="shared" si="11"/>
        <v>6.6416362351036096E-3</v>
      </c>
      <c r="N34" s="87">
        <f t="shared" si="12"/>
        <v>0.56260689610342207</v>
      </c>
      <c r="O34" s="88">
        <f t="shared" si="7"/>
        <v>1</v>
      </c>
      <c r="P34" s="84">
        <f t="shared" si="8"/>
        <v>29888.332974561257</v>
      </c>
      <c r="Q34" s="85">
        <f t="shared" si="0"/>
        <v>1</v>
      </c>
      <c r="R34" s="86">
        <f t="shared" si="1"/>
        <v>35.070600951678806</v>
      </c>
      <c r="S34" s="94">
        <f t="shared" si="2"/>
        <v>1457.0005004178199</v>
      </c>
      <c r="T34" s="80">
        <f t="shared" si="9"/>
        <v>191.40195543268374</v>
      </c>
      <c r="W34" s="73"/>
    </row>
    <row r="35" spans="8:23" x14ac:dyDescent="0.25">
      <c r="H35" s="15">
        <f t="shared" si="3"/>
        <v>2049</v>
      </c>
      <c r="I35" s="97">
        <f t="shared" si="10"/>
        <v>9663.5195918283262</v>
      </c>
      <c r="J35" s="60">
        <f t="shared" si="4"/>
        <v>1345990.2288618018</v>
      </c>
      <c r="K35" s="60">
        <f>IF(H35=Year_Open_to_Traffic?,Calculations!$E$4,K34+(K34*M35))</f>
        <v>1315903.3884519499</v>
      </c>
      <c r="L35" s="60">
        <f>IF(AND(H35&gt;=Year_Open_to_Traffic?, Calculations!H35&lt;Year_Open_to_Traffic?+'Inputs &amp; Outputs'!B$21), 1, 0)</f>
        <v>1</v>
      </c>
      <c r="M35" s="81">
        <f t="shared" si="11"/>
        <v>6.6416362351036096E-3</v>
      </c>
      <c r="N35" s="87">
        <f t="shared" si="12"/>
        <v>0.56634352645070174</v>
      </c>
      <c r="O35" s="88">
        <f t="shared" si="7"/>
        <v>1</v>
      </c>
      <c r="P35" s="84">
        <f t="shared" si="8"/>
        <v>30086.840409851866</v>
      </c>
      <c r="Q35" s="85">
        <f t="shared" si="0"/>
        <v>1</v>
      </c>
      <c r="R35" s="86">
        <f t="shared" si="1"/>
        <v>35.877224773567399</v>
      </c>
      <c r="S35" s="94">
        <f t="shared" si="2"/>
        <v>1500.4109471938812</v>
      </c>
      <c r="T35" s="80">
        <f t="shared" si="9"/>
        <v>184.20996325238093</v>
      </c>
      <c r="W35" s="73"/>
    </row>
    <row r="36" spans="8:23" x14ac:dyDescent="0.25">
      <c r="H36" s="15">
        <f t="shared" si="3"/>
        <v>2050</v>
      </c>
      <c r="I36" s="97">
        <f t="shared" si="10"/>
        <v>9727.7011737080466</v>
      </c>
      <c r="J36" s="60">
        <f t="shared" si="4"/>
        <v>1354929.8063379058</v>
      </c>
      <c r="K36" s="60">
        <f>IF(H36=Year_Open_to_Traffic?,Calculations!$E$4,K35+(K35*M36))</f>
        <v>1324643.1400785879</v>
      </c>
      <c r="L36" s="60">
        <f>IF(AND(H36&gt;=Year_Open_to_Traffic?, Calculations!H36&lt;Year_Open_to_Traffic?+'Inputs &amp; Outputs'!B$21), 1, 0)</f>
        <v>1</v>
      </c>
      <c r="M36" s="81">
        <f t="shared" si="11"/>
        <v>6.6416362351036096E-3</v>
      </c>
      <c r="N36" s="87">
        <f t="shared" si="12"/>
        <v>0.57010497413749306</v>
      </c>
      <c r="O36" s="88">
        <f t="shared" si="7"/>
        <v>1</v>
      </c>
      <c r="P36" s="84">
        <f t="shared" si="8"/>
        <v>30286.666259317892</v>
      </c>
      <c r="Q36" s="85">
        <f t="shared" si="0"/>
        <v>1</v>
      </c>
      <c r="R36" s="86">
        <f t="shared" si="1"/>
        <v>36.702400943359457</v>
      </c>
      <c r="S36" s="94">
        <f t="shared" si="2"/>
        <v>1545.1147819192106</v>
      </c>
      <c r="T36" s="80">
        <f t="shared" si="9"/>
        <v>177.28821257198831</v>
      </c>
      <c r="W36" s="73"/>
    </row>
    <row r="37" spans="8:23" x14ac:dyDescent="0.25">
      <c r="H37" s="52"/>
      <c r="I37" s="52"/>
      <c r="J37" s="52"/>
      <c r="K37" s="52"/>
      <c r="L37" s="52"/>
      <c r="M37" s="75"/>
      <c r="N37" s="76"/>
      <c r="O37" s="77"/>
      <c r="P37" s="52"/>
      <c r="Q37" s="52"/>
      <c r="R37" s="52"/>
      <c r="S37" s="74"/>
      <c r="T37" s="80">
        <f>SUM(T4:T36)</f>
        <v>9388.9214862093395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3" workbookViewId="0">
      <selection activeCell="B19" sqref="B19"/>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6"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2018-10-24T20:48:58Z</dcterms:modified>
</cp:coreProperties>
</file>