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Y:\Applications\2018\TIP\BCA\"/>
    </mc:Choice>
  </mc:AlternateContent>
  <xr:revisionPtr revIDLastSave="0" documentId="13_ncr:1_{9557460C-22C9-4F0C-B759-7AF1D5B69B69}" xr6:coauthVersionLast="36" xr6:coauthVersionMax="36" xr10:uidLastSave="{00000000-0000-0000-0000-000000000000}"/>
  <bookViews>
    <workbookView xWindow="0" yWindow="0" windowWidth="14400" windowHeight="693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5" r:id="rId4"/>
    <sheet name="Benefit Calculations" sheetId="18" r:id="rId5"/>
    <sheet name="Assumed Values" sheetId="2" r:id="rId6"/>
    <sheet name="Emission Factors - NOx" sheetId="16" r:id="rId7"/>
    <sheet name="Emission Factors - VOC" sheetId="17" r:id="rId8"/>
    <sheet name="Service Life " sheetId="19" r:id="rId9"/>
  </sheets>
  <externalReferences>
    <externalReference r:id="rId10"/>
    <externalReference r:id="rId11"/>
  </externalReferences>
  <definedNames>
    <definedName name="_2018_2025_Demand_Growth">'[1]Benefit Calculations'!#REF!</definedName>
    <definedName name="_2018_2025_V_C_Growth">'[1]Benefit Calculations'!#REF!</definedName>
    <definedName name="_2018_2045_Demand_Growth">'[1]Benefit Calculations'!#REF!</definedName>
    <definedName name="_2018_2045_V_C_Growth">'[1]Benefit Calculations'!#REF!</definedName>
    <definedName name="_2018_Capacity">#REF!</definedName>
    <definedName name="_2018_V_C_Ratio">#REF!</definedName>
    <definedName name="_2018_Volume">#REF!</definedName>
    <definedName name="_2025_2045_Demand_Growth">'[1]Benefit Calculations'!#REF!</definedName>
    <definedName name="_2025_2045_V_C_Growth">'[1]Benefit Calculations'!#REF!</definedName>
    <definedName name="_2025_Capacity">#REF!</definedName>
    <definedName name="_2025_V_C_Ratio">#REF!</definedName>
    <definedName name="_2025_Volume">#REF!</definedName>
    <definedName name="_2045_Capacity">#REF!</definedName>
    <definedName name="_2045_V_C_Ratio">#REF!</definedName>
    <definedName name="_2045_Volume">#REF!</definedName>
    <definedName name="Annual_Days_of_Travel">'[1]Benefit Calculations'!#REF!</definedName>
    <definedName name="Application_ID_Number">#REF!</definedName>
    <definedName name="Base_Year">'[1]Benefit Calculations'!#REF!</definedName>
    <definedName name="Discount_Rate">#REF!</definedName>
    <definedName name="Name">#REF!</definedName>
    <definedName name="_xlnm.Print_Area" localSheetId="5">'Assumed Values'!$B$2:$C$22</definedName>
    <definedName name="_xlnm.Print_Area" localSheetId="2">'Emissions Reduction Worksheet'!$A$3:$K$33</definedName>
    <definedName name="_xlnm.Print_Area" localSheetId="0">Instructions!$A$1:$G$12</definedName>
    <definedName name="_xlnm.Print_Area" localSheetId="1">'ITS Delay Worksheet'!$A$3:$J$33</definedName>
    <definedName name="Real_wage_growth_rate">'[1]Benefit Calculations'!#REF!</definedName>
    <definedName name="Sponsor_ID_Number__CSJ__etc.">#REF!</definedName>
    <definedName name="Value_of_Delay_Savings__2015_____000s">[2]Calculations!$S$4:$S$36</definedName>
    <definedName name="Value_of_Delay_Savings__2018_____000s">#REF!+#REF!</definedName>
    <definedName name="Value_of_Travel_Time__VoTT___2018">'[1]Benefit Calculations'!#REF!</definedName>
    <definedName name="Vehicle_Occupancy">'[1]Benefit Calculations'!#REF!</definedName>
    <definedName name="Year_Open_to_Traffic?">#REF!</definedName>
    <definedName name="Years_to_include_in_BCA_Analysis">'[1]Benefit Calculations'!#REF!</definedName>
  </definedName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8" i="15" l="1"/>
  <c r="B15" i="15"/>
  <c r="E4" i="18"/>
  <c r="B5" i="18"/>
  <c r="M4" i="18"/>
  <c r="N4" i="18"/>
  <c r="O4" i="18"/>
  <c r="P4" i="18"/>
  <c r="E5" i="18"/>
  <c r="F5" i="18"/>
  <c r="N5" i="18"/>
  <c r="O5" i="18"/>
  <c r="P5" i="18"/>
  <c r="E6" i="18"/>
  <c r="F6" i="18"/>
  <c r="N6" i="18"/>
  <c r="O6" i="18"/>
  <c r="P6" i="18"/>
  <c r="E7" i="18"/>
  <c r="F7" i="18"/>
  <c r="N7" i="18"/>
  <c r="O7" i="18"/>
  <c r="P7" i="18"/>
  <c r="E8" i="18"/>
  <c r="F8" i="18"/>
  <c r="N8" i="18"/>
  <c r="O8" i="18"/>
  <c r="P8" i="18"/>
  <c r="E9" i="18"/>
  <c r="F9" i="18"/>
  <c r="N9" i="18"/>
  <c r="O9" i="18"/>
  <c r="P9" i="18"/>
  <c r="E10" i="18"/>
  <c r="F10" i="18"/>
  <c r="N10" i="18"/>
  <c r="O10" i="18"/>
  <c r="P10" i="18"/>
  <c r="E11" i="18"/>
  <c r="F11" i="18"/>
  <c r="N11" i="18"/>
  <c r="O11" i="18"/>
  <c r="P11" i="18"/>
  <c r="E12" i="18"/>
  <c r="F12" i="18"/>
  <c r="N12" i="18"/>
  <c r="O12" i="18"/>
  <c r="P12" i="18"/>
  <c r="E13" i="18"/>
  <c r="F13" i="18"/>
  <c r="N13" i="18"/>
  <c r="O13" i="18"/>
  <c r="P13" i="18"/>
  <c r="E14" i="18"/>
  <c r="F14" i="18"/>
  <c r="N14" i="18"/>
  <c r="O14" i="18"/>
  <c r="P14" i="18"/>
  <c r="E15" i="18"/>
  <c r="F15" i="18"/>
  <c r="N15" i="18"/>
  <c r="O15" i="18"/>
  <c r="P15" i="18"/>
  <c r="E16" i="18"/>
  <c r="F16" i="18"/>
  <c r="N16" i="18"/>
  <c r="O16" i="18"/>
  <c r="P16" i="18"/>
  <c r="E17" i="18"/>
  <c r="F17" i="18"/>
  <c r="N17" i="18"/>
  <c r="O17" i="18"/>
  <c r="P17" i="18"/>
  <c r="E18" i="18"/>
  <c r="F18" i="18"/>
  <c r="N18" i="18"/>
  <c r="O18" i="18"/>
  <c r="P18" i="18"/>
  <c r="E19" i="18"/>
  <c r="F19" i="18"/>
  <c r="N19" i="18"/>
  <c r="O19" i="18"/>
  <c r="P19" i="18"/>
  <c r="E20" i="18"/>
  <c r="F20" i="18"/>
  <c r="N20" i="18"/>
  <c r="O20" i="18"/>
  <c r="P20" i="18"/>
  <c r="E21" i="18"/>
  <c r="F21" i="18"/>
  <c r="N21" i="18"/>
  <c r="O21" i="18"/>
  <c r="P21" i="18"/>
  <c r="E22" i="18"/>
  <c r="F22" i="18"/>
  <c r="N22" i="18"/>
  <c r="O22" i="18"/>
  <c r="P22" i="18"/>
  <c r="E23" i="18"/>
  <c r="F23" i="18"/>
  <c r="N23" i="18"/>
  <c r="O23" i="18"/>
  <c r="P23" i="18"/>
  <c r="E24" i="18"/>
  <c r="F24" i="18"/>
  <c r="N24" i="18"/>
  <c r="O24" i="18"/>
  <c r="P24" i="18"/>
  <c r="E25" i="18"/>
  <c r="F25" i="18"/>
  <c r="N25" i="18"/>
  <c r="O25" i="18"/>
  <c r="P25" i="18"/>
  <c r="E26" i="18"/>
  <c r="F26" i="18"/>
  <c r="N26" i="18"/>
  <c r="O26" i="18"/>
  <c r="P26" i="18"/>
  <c r="E27" i="18"/>
  <c r="F27" i="18"/>
  <c r="N27" i="18"/>
  <c r="O27" i="18"/>
  <c r="P27" i="18"/>
  <c r="E28" i="18"/>
  <c r="F28" i="18"/>
  <c r="N28" i="18"/>
  <c r="O28" i="18"/>
  <c r="P28" i="18"/>
  <c r="E29" i="18"/>
  <c r="F29" i="18"/>
  <c r="N29" i="18"/>
  <c r="O29" i="18"/>
  <c r="P29" i="18"/>
  <c r="E30" i="18"/>
  <c r="F30" i="18"/>
  <c r="N30" i="18"/>
  <c r="O30" i="18"/>
  <c r="P30" i="18"/>
  <c r="E31" i="18"/>
  <c r="F31" i="18"/>
  <c r="N31" i="18"/>
  <c r="O31" i="18"/>
  <c r="P31" i="18"/>
  <c r="E32" i="18"/>
  <c r="F32" i="18"/>
  <c r="N32" i="18"/>
  <c r="O32" i="18"/>
  <c r="P32" i="18"/>
  <c r="E33" i="18"/>
  <c r="F33" i="18"/>
  <c r="N33" i="18"/>
  <c r="O33" i="18"/>
  <c r="P33" i="18"/>
  <c r="E34" i="18"/>
  <c r="F34" i="18"/>
  <c r="N34" i="18"/>
  <c r="O34" i="18"/>
  <c r="P34" i="18"/>
  <c r="E35" i="18"/>
  <c r="F35" i="18"/>
  <c r="N35" i="18"/>
  <c r="O35" i="18"/>
  <c r="P35" i="18"/>
  <c r="E36" i="18"/>
  <c r="F36" i="18"/>
  <c r="N36" i="18"/>
  <c r="O36" i="18"/>
  <c r="P36" i="18"/>
  <c r="P37" i="18"/>
  <c r="B39" i="15"/>
  <c r="B50" i="15"/>
  <c r="B4" i="18"/>
  <c r="G4" i="18"/>
  <c r="H4" i="18"/>
  <c r="I4" i="18"/>
  <c r="H5" i="18"/>
  <c r="I5" i="18"/>
  <c r="H6" i="18"/>
  <c r="I6" i="18"/>
  <c r="H7" i="18"/>
  <c r="I7" i="18"/>
  <c r="H8" i="18"/>
  <c r="I8" i="18"/>
  <c r="H9" i="18"/>
  <c r="I9" i="18"/>
  <c r="H10" i="18"/>
  <c r="I10" i="18"/>
  <c r="H11" i="18"/>
  <c r="I11" i="18"/>
  <c r="H12" i="18"/>
  <c r="I12" i="18"/>
  <c r="H13" i="18"/>
  <c r="I13" i="18"/>
  <c r="H14" i="18"/>
  <c r="I14" i="18"/>
  <c r="H15" i="18"/>
  <c r="I15" i="18"/>
  <c r="H16" i="18"/>
  <c r="I16" i="18"/>
  <c r="H17" i="18"/>
  <c r="I17" i="18"/>
  <c r="H18" i="18"/>
  <c r="I18" i="18"/>
  <c r="H19" i="18"/>
  <c r="I19" i="18"/>
  <c r="H20" i="18"/>
  <c r="I20" i="18"/>
  <c r="H21" i="18"/>
  <c r="I21" i="18"/>
  <c r="H22" i="18"/>
  <c r="I22" i="18"/>
  <c r="H23" i="18"/>
  <c r="I23" i="18"/>
  <c r="H24" i="18"/>
  <c r="I24" i="18"/>
  <c r="H25" i="18"/>
  <c r="I25" i="18"/>
  <c r="H26" i="18"/>
  <c r="I26" i="18"/>
  <c r="H27" i="18"/>
  <c r="I27" i="18"/>
  <c r="H28" i="18"/>
  <c r="I28" i="18"/>
  <c r="H29" i="18"/>
  <c r="I29" i="18"/>
  <c r="H30" i="18"/>
  <c r="I30" i="18"/>
  <c r="H31" i="18"/>
  <c r="I31" i="18"/>
  <c r="H32" i="18"/>
  <c r="I32" i="18"/>
  <c r="H33" i="18"/>
  <c r="I33" i="18"/>
  <c r="H34" i="18"/>
  <c r="I34" i="18"/>
  <c r="H35" i="18"/>
  <c r="I35" i="18"/>
  <c r="H36" i="18"/>
  <c r="I36" i="18"/>
  <c r="I37" i="18"/>
  <c r="J37" i="18"/>
  <c r="B38" i="15"/>
  <c r="B49" i="15"/>
  <c r="J4" i="18"/>
  <c r="K4" i="18"/>
  <c r="L4" i="18"/>
  <c r="J5" i="18"/>
  <c r="K5" i="18"/>
  <c r="L5" i="18"/>
  <c r="J6" i="18"/>
  <c r="K6" i="18"/>
  <c r="L6" i="18"/>
  <c r="J7" i="18"/>
  <c r="K7" i="18"/>
  <c r="L7" i="18"/>
  <c r="J8" i="18"/>
  <c r="K8" i="18"/>
  <c r="L8" i="18"/>
  <c r="J9" i="18"/>
  <c r="K9" i="18"/>
  <c r="L9" i="18"/>
  <c r="J10" i="18"/>
  <c r="K10" i="18"/>
  <c r="L10" i="18"/>
  <c r="J11" i="18"/>
  <c r="K11" i="18"/>
  <c r="L11" i="18"/>
  <c r="J12" i="18"/>
  <c r="K12" i="18"/>
  <c r="L12" i="18"/>
  <c r="J13" i="18"/>
  <c r="K13" i="18"/>
  <c r="L13" i="18"/>
  <c r="J14" i="18"/>
  <c r="K14" i="18"/>
  <c r="L14" i="18"/>
  <c r="J15" i="18"/>
  <c r="K15" i="18"/>
  <c r="L15" i="18"/>
  <c r="J16" i="18"/>
  <c r="K16" i="18"/>
  <c r="L16" i="18"/>
  <c r="J17" i="18"/>
  <c r="K17" i="18"/>
  <c r="L17" i="18"/>
  <c r="J18" i="18"/>
  <c r="K18" i="18"/>
  <c r="L18" i="18"/>
  <c r="J19" i="18"/>
  <c r="K19" i="18"/>
  <c r="L19" i="18"/>
  <c r="J20" i="18"/>
  <c r="K20" i="18"/>
  <c r="L20" i="18"/>
  <c r="J21" i="18"/>
  <c r="K21" i="18"/>
  <c r="L21" i="18"/>
  <c r="J22" i="18"/>
  <c r="K22" i="18"/>
  <c r="L22" i="18"/>
  <c r="J23" i="18"/>
  <c r="K23" i="18"/>
  <c r="L23" i="18"/>
  <c r="J24" i="18"/>
  <c r="K24" i="18"/>
  <c r="L24" i="18"/>
  <c r="J25" i="18"/>
  <c r="K25" i="18"/>
  <c r="L25" i="18"/>
  <c r="J26" i="18"/>
  <c r="K26" i="18"/>
  <c r="L26" i="18"/>
  <c r="J27" i="18"/>
  <c r="K27" i="18"/>
  <c r="L27" i="18"/>
  <c r="J28" i="18"/>
  <c r="K28" i="18"/>
  <c r="L28" i="18"/>
  <c r="J29" i="18"/>
  <c r="K29" i="18"/>
  <c r="L29" i="18"/>
  <c r="J30" i="18"/>
  <c r="K30" i="18"/>
  <c r="L30" i="18"/>
  <c r="J31" i="18"/>
  <c r="K31" i="18"/>
  <c r="L31" i="18"/>
  <c r="J32" i="18"/>
  <c r="K32" i="18"/>
  <c r="L32" i="18"/>
  <c r="J33" i="18"/>
  <c r="K33" i="18"/>
  <c r="L33" i="18"/>
  <c r="J34" i="18"/>
  <c r="K34" i="18"/>
  <c r="L34" i="18"/>
  <c r="J35" i="18"/>
  <c r="K35" i="18"/>
  <c r="L35" i="18"/>
  <c r="J36" i="18"/>
  <c r="K36" i="18"/>
  <c r="L36" i="18"/>
  <c r="L37" i="18"/>
  <c r="B31" i="15"/>
  <c r="Q4" i="18"/>
  <c r="R4" i="18"/>
  <c r="Q5" i="18"/>
  <c r="R5" i="18"/>
  <c r="Q6" i="18"/>
  <c r="R6" i="18"/>
  <c r="Q7" i="18"/>
  <c r="R7" i="18"/>
  <c r="Q8" i="18"/>
  <c r="R8" i="18"/>
  <c r="Q9" i="18"/>
  <c r="R9" i="18"/>
  <c r="Q10" i="18"/>
  <c r="R10" i="18"/>
  <c r="Q11" i="18"/>
  <c r="R11" i="18"/>
  <c r="Q12" i="18"/>
  <c r="R12" i="18"/>
  <c r="Q13" i="18"/>
  <c r="R13" i="18"/>
  <c r="Q14" i="18"/>
  <c r="R14" i="18"/>
  <c r="Q15" i="18"/>
  <c r="R15" i="18"/>
  <c r="Q16" i="18"/>
  <c r="R16" i="18"/>
  <c r="Q17" i="18"/>
  <c r="R17" i="18"/>
  <c r="Q18" i="18"/>
  <c r="R18" i="18"/>
  <c r="Q19" i="18"/>
  <c r="R19" i="18"/>
  <c r="Q20" i="18"/>
  <c r="R20" i="18"/>
  <c r="Q21" i="18"/>
  <c r="R21" i="18"/>
  <c r="Q22" i="18"/>
  <c r="R22" i="18"/>
  <c r="Q23" i="18"/>
  <c r="R23" i="18"/>
  <c r="Q24" i="18"/>
  <c r="R24" i="18"/>
  <c r="Q25" i="18"/>
  <c r="R25" i="18"/>
  <c r="Q26" i="18"/>
  <c r="R26" i="18"/>
  <c r="Q27" i="18"/>
  <c r="R27" i="18"/>
  <c r="Q28" i="18"/>
  <c r="R28" i="18"/>
  <c r="Q29" i="18"/>
  <c r="R29" i="18"/>
  <c r="Q30" i="18"/>
  <c r="R30" i="18"/>
  <c r="Q31" i="18"/>
  <c r="R31" i="18"/>
  <c r="Q32" i="18"/>
  <c r="R32" i="18"/>
  <c r="Q33" i="18"/>
  <c r="R33" i="18"/>
  <c r="Q34" i="18"/>
  <c r="R34" i="18"/>
  <c r="Q35" i="18"/>
  <c r="R35" i="18"/>
  <c r="Q36" i="18"/>
  <c r="R36" i="18"/>
  <c r="R37" i="18"/>
  <c r="B32" i="15"/>
  <c r="B35" i="15"/>
  <c r="B46" i="15"/>
  <c r="B43" i="15"/>
  <c r="B42" i="15"/>
  <c r="F4" i="18"/>
  <c r="C15" i="2"/>
  <c r="A37" i="15"/>
  <c r="M13" i="18"/>
  <c r="G11" i="18"/>
  <c r="G9" i="18"/>
  <c r="M5" i="18"/>
  <c r="M21" i="18"/>
  <c r="M29" i="18"/>
  <c r="M28" i="18"/>
  <c r="M6" i="18"/>
  <c r="M14" i="18"/>
  <c r="M30" i="18"/>
  <c r="M35" i="18"/>
  <c r="M7" i="18"/>
  <c r="M23" i="18"/>
  <c r="M31" i="18"/>
  <c r="M8" i="18"/>
  <c r="M24" i="18"/>
  <c r="M32" i="18"/>
  <c r="M27" i="18"/>
  <c r="M9" i="18"/>
  <c r="M17" i="18"/>
  <c r="M25" i="18"/>
  <c r="M19" i="18"/>
  <c r="M36" i="18"/>
  <c r="M10" i="18"/>
  <c r="M26" i="18"/>
  <c r="M34" i="18"/>
  <c r="M11" i="18"/>
  <c r="G19" i="18"/>
  <c r="G27" i="18"/>
  <c r="G35" i="18"/>
  <c r="G12" i="18"/>
  <c r="G20" i="18"/>
  <c r="G28" i="18"/>
  <c r="G36" i="18"/>
  <c r="G26" i="18"/>
  <c r="G5" i="18"/>
  <c r="G13" i="18"/>
  <c r="G21" i="18"/>
  <c r="G29" i="18"/>
  <c r="G6" i="18"/>
  <c r="G14" i="18"/>
  <c r="G22" i="18"/>
  <c r="G30" i="18"/>
  <c r="G7" i="18"/>
  <c r="G15" i="18"/>
  <c r="G23" i="18"/>
  <c r="G31" i="18"/>
  <c r="G18" i="18"/>
  <c r="G8" i="18"/>
  <c r="G16" i="18"/>
  <c r="G24" i="18"/>
  <c r="G32" i="18"/>
  <c r="G17" i="18"/>
  <c r="G25" i="18"/>
  <c r="G33" i="18"/>
  <c r="G10" i="18"/>
  <c r="G34" i="18"/>
  <c r="D5" i="18"/>
  <c r="D6" i="18"/>
  <c r="B18" i="5"/>
  <c r="E17" i="5"/>
  <c r="B19" i="5"/>
  <c r="E18" i="5"/>
  <c r="G4" i="7"/>
  <c r="G4" i="5"/>
  <c r="H4" i="5"/>
  <c r="G5" i="5"/>
  <c r="B18" i="7"/>
  <c r="B17" i="7"/>
  <c r="B16" i="7"/>
  <c r="E17" i="7"/>
  <c r="J4" i="5"/>
  <c r="B13" i="5"/>
  <c r="H5" i="5"/>
  <c r="I5" i="5"/>
  <c r="B20" i="5"/>
  <c r="B21" i="5"/>
  <c r="B19" i="7"/>
  <c r="I4" i="5"/>
  <c r="G6" i="5"/>
  <c r="J5" i="5"/>
  <c r="K5" i="5"/>
  <c r="K4" i="5"/>
  <c r="B11" i="5"/>
  <c r="B12" i="5"/>
  <c r="D7" i="18"/>
  <c r="G5" i="7"/>
  <c r="H4" i="7"/>
  <c r="I4" i="7"/>
  <c r="J4" i="7"/>
  <c r="B11" i="7"/>
  <c r="B12" i="7"/>
  <c r="M12" i="18"/>
  <c r="M18" i="18"/>
  <c r="M33" i="18"/>
  <c r="M20" i="18"/>
  <c r="M16" i="18"/>
  <c r="M15" i="18"/>
  <c r="M22" i="18"/>
  <c r="H5" i="7"/>
  <c r="I5" i="7"/>
  <c r="J5" i="7"/>
  <c r="G6" i="7"/>
  <c r="G7" i="5"/>
  <c r="H6" i="5"/>
  <c r="I6" i="5"/>
  <c r="J6" i="5"/>
  <c r="K6" i="5"/>
  <c r="D8" i="18"/>
  <c r="D9" i="18"/>
  <c r="J7" i="5"/>
  <c r="K7" i="5"/>
  <c r="H7" i="5"/>
  <c r="I7" i="5"/>
  <c r="G8" i="5"/>
  <c r="H6" i="7"/>
  <c r="I6" i="7"/>
  <c r="J6" i="7"/>
  <c r="G7" i="7"/>
  <c r="J8" i="5"/>
  <c r="K8" i="5"/>
  <c r="H8" i="5"/>
  <c r="I8" i="5"/>
  <c r="G9" i="5"/>
  <c r="H7" i="7"/>
  <c r="I7" i="7"/>
  <c r="J7" i="7"/>
  <c r="G8" i="7"/>
  <c r="D10" i="18"/>
  <c r="H8" i="7"/>
  <c r="I8" i="7"/>
  <c r="J8" i="7"/>
  <c r="G9" i="7"/>
  <c r="D11" i="18"/>
  <c r="G10" i="5"/>
  <c r="J9" i="5"/>
  <c r="K9" i="5"/>
  <c r="H9" i="5"/>
  <c r="I9" i="5"/>
  <c r="H10" i="5"/>
  <c r="I10" i="5"/>
  <c r="J10" i="5"/>
  <c r="K10" i="5"/>
  <c r="G11" i="5"/>
  <c r="H9" i="7"/>
  <c r="I9" i="7"/>
  <c r="J9" i="7"/>
  <c r="G10" i="7"/>
  <c r="D12" i="18"/>
  <c r="D13" i="18"/>
  <c r="H11" i="5"/>
  <c r="I11" i="5"/>
  <c r="G12" i="5"/>
  <c r="J11" i="5"/>
  <c r="K11" i="5"/>
  <c r="H10" i="7"/>
  <c r="I10" i="7"/>
  <c r="J10" i="7"/>
  <c r="G11" i="7"/>
  <c r="H11" i="7"/>
  <c r="I11" i="7"/>
  <c r="J11" i="7"/>
  <c r="G12" i="7"/>
  <c r="J12" i="5"/>
  <c r="K12" i="5"/>
  <c r="G13" i="5"/>
  <c r="H12" i="5"/>
  <c r="I12" i="5"/>
  <c r="D14" i="18"/>
  <c r="D15" i="18"/>
  <c r="G13" i="7"/>
  <c r="H12" i="7"/>
  <c r="I12" i="7"/>
  <c r="J12" i="7"/>
  <c r="G14" i="5"/>
  <c r="H13" i="5"/>
  <c r="I13" i="5"/>
  <c r="J13" i="5"/>
  <c r="K13" i="5"/>
  <c r="D16" i="18"/>
  <c r="G14" i="7"/>
  <c r="H13" i="7"/>
  <c r="I13" i="7"/>
  <c r="J13" i="7"/>
  <c r="J14" i="5"/>
  <c r="K14" i="5"/>
  <c r="G15" i="5"/>
  <c r="H14" i="5"/>
  <c r="I14" i="5"/>
  <c r="D17" i="18"/>
  <c r="G16" i="5"/>
  <c r="J15" i="5"/>
  <c r="K15" i="5"/>
  <c r="H15" i="5"/>
  <c r="I15" i="5"/>
  <c r="G15" i="7"/>
  <c r="H14" i="7"/>
  <c r="I14" i="7"/>
  <c r="J14" i="7"/>
  <c r="J16" i="5"/>
  <c r="K16" i="5"/>
  <c r="G17" i="5"/>
  <c r="H16" i="5"/>
  <c r="I16" i="5"/>
  <c r="H15" i="7"/>
  <c r="I15" i="7"/>
  <c r="J15" i="7"/>
  <c r="G16" i="7"/>
  <c r="D18" i="18"/>
  <c r="D19" i="18"/>
  <c r="G17" i="7"/>
  <c r="H16" i="7"/>
  <c r="I16" i="7"/>
  <c r="J16" i="7"/>
  <c r="G18" i="5"/>
  <c r="H17" i="5"/>
  <c r="I17" i="5"/>
  <c r="J17" i="5"/>
  <c r="K17" i="5"/>
  <c r="I17" i="7"/>
  <c r="J17" i="7"/>
  <c r="G18" i="7"/>
  <c r="H17" i="7"/>
  <c r="J18" i="5"/>
  <c r="K18" i="5"/>
  <c r="G19" i="5"/>
  <c r="H18" i="5"/>
  <c r="I18" i="5"/>
  <c r="D20" i="18"/>
  <c r="D21" i="18"/>
  <c r="J19" i="5"/>
  <c r="K19" i="5"/>
  <c r="G20" i="5"/>
  <c r="H19" i="5"/>
  <c r="I19" i="5"/>
  <c r="H18" i="7"/>
  <c r="I18" i="7"/>
  <c r="J18" i="7"/>
  <c r="G19" i="7"/>
  <c r="I19" i="7"/>
  <c r="J19" i="7"/>
  <c r="G20" i="7"/>
  <c r="H19" i="7"/>
  <c r="G21" i="5"/>
  <c r="H20" i="5"/>
  <c r="I20" i="5"/>
  <c r="J20" i="5"/>
  <c r="K20" i="5"/>
  <c r="D22" i="18"/>
  <c r="I20" i="7"/>
  <c r="J20" i="7"/>
  <c r="G21" i="7"/>
  <c r="H20" i="7"/>
  <c r="D23" i="18"/>
  <c r="H21" i="5"/>
  <c r="I21" i="5"/>
  <c r="G22" i="5"/>
  <c r="J21" i="5"/>
  <c r="K21" i="5"/>
  <c r="H22" i="5"/>
  <c r="I22" i="5"/>
  <c r="G23" i="5"/>
  <c r="J22" i="5"/>
  <c r="K22" i="5"/>
  <c r="D24" i="18"/>
  <c r="H21" i="7"/>
  <c r="I21" i="7"/>
  <c r="J21" i="7"/>
  <c r="G22" i="7"/>
  <c r="I22" i="7"/>
  <c r="J22" i="7"/>
  <c r="H22" i="7"/>
  <c r="G23" i="7"/>
  <c r="D25" i="18"/>
  <c r="H23" i="5"/>
  <c r="I23" i="5"/>
  <c r="G24" i="5"/>
  <c r="J23" i="5"/>
  <c r="K23" i="5"/>
  <c r="D26" i="18"/>
  <c r="H24" i="5"/>
  <c r="I24" i="5"/>
  <c r="J24" i="5"/>
  <c r="K24" i="5"/>
  <c r="G25" i="5"/>
  <c r="H23" i="7"/>
  <c r="I23" i="7"/>
  <c r="J23" i="7"/>
  <c r="G24" i="7"/>
  <c r="D27" i="18"/>
  <c r="G25" i="7"/>
  <c r="H24" i="7"/>
  <c r="I24" i="7"/>
  <c r="J24" i="7"/>
  <c r="G26" i="5"/>
  <c r="J25" i="5"/>
  <c r="K25" i="5"/>
  <c r="H25" i="5"/>
  <c r="I25" i="5"/>
  <c r="D28" i="18"/>
  <c r="H25" i="7"/>
  <c r="G26" i="7"/>
  <c r="I25" i="7"/>
  <c r="J25" i="7"/>
  <c r="H26" i="5"/>
  <c r="I26" i="5"/>
  <c r="J26" i="5"/>
  <c r="K26" i="5"/>
  <c r="G27" i="5"/>
  <c r="D29" i="18"/>
  <c r="G28" i="5"/>
  <c r="H27" i="5"/>
  <c r="I27" i="5"/>
  <c r="J27" i="5"/>
  <c r="K27" i="5"/>
  <c r="H26" i="7"/>
  <c r="I26" i="7"/>
  <c r="J26" i="7"/>
  <c r="G27" i="7"/>
  <c r="I27" i="7"/>
  <c r="J27" i="7"/>
  <c r="G28" i="7"/>
  <c r="H27" i="7"/>
  <c r="J28" i="5"/>
  <c r="K28" i="5"/>
  <c r="H28" i="5"/>
  <c r="I28" i="5"/>
  <c r="G29" i="5"/>
  <c r="D30" i="18"/>
  <c r="D31" i="18"/>
  <c r="H29" i="5"/>
  <c r="I29" i="5"/>
  <c r="J29" i="5"/>
  <c r="K29" i="5"/>
  <c r="I28" i="7"/>
  <c r="J28" i="7"/>
  <c r="G29" i="7"/>
  <c r="H28" i="7"/>
  <c r="H29" i="7"/>
  <c r="I29" i="7"/>
  <c r="J29" i="7"/>
  <c r="D32" i="18"/>
  <c r="D33" i="18"/>
  <c r="D34" i="18"/>
  <c r="D35" i="18"/>
  <c r="D36" i="18"/>
  <c r="K37" i="18"/>
  <c r="O37" i="18"/>
  <c r="Q37" i="18"/>
</calcChain>
</file>

<file path=xl/sharedStrings.xml><?xml version="1.0" encoding="utf-8"?>
<sst xmlns="http://schemas.openxmlformats.org/spreadsheetml/2006/main" count="204" uniqueCount="130">
  <si>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</si>
  <si>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</si>
  <si>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</si>
  <si>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</si>
  <si>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</si>
  <si>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</si>
  <si>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</si>
  <si>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</si>
  <si>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</si>
  <si>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</si>
  <si>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</si>
  <si>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</si>
  <si>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</si>
  <si>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</si>
  <si>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</si>
  <si>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</si>
  <si>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</si>
  <si>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</si>
  <si>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</si>
  <si>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</si>
  <si>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</si>
  <si>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</si>
  <si>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</si>
  <si>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Common Values:</t>
  </si>
  <si>
    <t>Emissions Reduction Values:</t>
  </si>
  <si>
    <t>Base Year for Analysis</t>
  </si>
  <si>
    <t>Real Discount Rate</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</si>
  <si>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</si>
  <si>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</si>
  <si>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</si>
  <si>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</si>
  <si>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</si>
  <si>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</si>
  <si>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</si>
  <si>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</si>
  <si>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</si>
  <si>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</si>
  <si>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</si>
  <si>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</si>
  <si>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</si>
  <si>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</si>
  <si>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</si>
  <si>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</si>
  <si>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</si>
  <si>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</si>
  <si>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</si>
  <si>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</si>
  <si>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</si>
  <si>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</si>
  <si>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</si>
  <si>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</si>
  <si>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</si>
  <si>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</si>
  <si>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</si>
  <si>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</si>
  <si>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</si>
  <si>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</si>
  <si>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</si>
  <si>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</si>
  <si>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</si>
  <si>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</si>
  <si>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</si>
  <si>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</si>
  <si>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</si>
  <si>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</si>
  <si>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</si>
  <si>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</si>
  <si>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Facility Type</t>
  </si>
  <si>
    <t>Project County</t>
  </si>
  <si>
    <t>Discounted NOx Benefits @ 7% (2018 $, '000s)</t>
  </si>
  <si>
    <t>Discounted VOC Benefits @ 7% (2018 $, '000s)</t>
  </si>
  <si>
    <t>Brazoria</t>
  </si>
  <si>
    <t>Chambers</t>
  </si>
  <si>
    <t>Fort Bend</t>
  </si>
  <si>
    <t>Galveston</t>
  </si>
  <si>
    <t>Harris</t>
  </si>
  <si>
    <t>Liberty</t>
  </si>
  <si>
    <t>Montgomery</t>
  </si>
  <si>
    <t>Waller</t>
  </si>
  <si>
    <t>Facility Types</t>
  </si>
  <si>
    <t>NOx</t>
  </si>
  <si>
    <t>VOC</t>
  </si>
  <si>
    <t>NOx Emission Reductions (tons/year)</t>
  </si>
  <si>
    <t>VOC Emission Reductions (tons/year)</t>
  </si>
  <si>
    <t>Non-Freeway</t>
  </si>
  <si>
    <t>Freeway</t>
  </si>
  <si>
    <t>Annual Growth Rate</t>
  </si>
  <si>
    <t>Base NOx (g/day)</t>
  </si>
  <si>
    <t>Volume Grown NOx (g/day)</t>
  </si>
  <si>
    <t>Base VOC 
(g/year)</t>
  </si>
  <si>
    <t>Volume Grown VOC (g/day)</t>
  </si>
  <si>
    <t>VOC (g/day)</t>
  </si>
  <si>
    <t>Within Project Life?</t>
  </si>
  <si>
    <t>Data entered by the sponsors</t>
  </si>
  <si>
    <t>Benefits calculated by the template</t>
  </si>
  <si>
    <t>Proposed Improvements Information</t>
  </si>
  <si>
    <t>Type of Improvement</t>
  </si>
  <si>
    <t>Average Vehicle Delay at Intersection Before Implementation (in hours)</t>
  </si>
  <si>
    <t>Average Vehicle Delay at Intersection After Implementation (in hours)</t>
  </si>
  <si>
    <t>Daily Travel Demand</t>
  </si>
  <si>
    <t>Total Emissions Benefit Results</t>
  </si>
  <si>
    <t>Discounted Emissions Benefits @ 7% (2018 $, '000s)</t>
  </si>
  <si>
    <t>Service Life of Project (in years) (from MoSERS)</t>
  </si>
  <si>
    <t>2018 Call For Projects - Benefit-Cost Analysis Assumptions*</t>
  </si>
  <si>
    <t>Value of Emissions, USDOT Benefit-Cost Analysis Guidance for Discretionary Grant Programs</t>
  </si>
  <si>
    <t>$ /Short ton ($2017)</t>
  </si>
  <si>
    <t>Service Life of Project (years)</t>
  </si>
  <si>
    <t>Improvement Type</t>
  </si>
  <si>
    <t>Service Life of Project</t>
  </si>
  <si>
    <t>Signalization</t>
  </si>
  <si>
    <t>Intersection Improvement</t>
  </si>
  <si>
    <t>Grade Separations</t>
  </si>
  <si>
    <t>All emissions factors are in gm/hr</t>
  </si>
  <si>
    <t>Idling Emissions Factors in gm/hr</t>
  </si>
  <si>
    <t>Idle Emission Factor (gm/hr)</t>
  </si>
  <si>
    <t>NOx (Short ton/yr)</t>
  </si>
  <si>
    <t>VOC 
(Short ton/yr)</t>
  </si>
  <si>
    <t>Populated based on selection in cell "C15"</t>
  </si>
  <si>
    <t>Source</t>
  </si>
  <si>
    <t>https://moser.tti.tamu.edu/docs/Texas.Guide.to.Accepted.Mobile.Source.Emission.Reduction.Strategies_August.2007.pdf</t>
  </si>
  <si>
    <t>page A.8.9</t>
  </si>
  <si>
    <t>Average Intersection Daily Traffic Volume During Off-Peak Hours</t>
  </si>
  <si>
    <t>Grade Separations considered roadway improvements</t>
  </si>
  <si>
    <t>Port Road Total Crossing Railroad Bypass</t>
  </si>
  <si>
    <t>Potential Truck and Train Conflict Volume</t>
  </si>
  <si>
    <t>2018 Potential Truck and Train Conflict Volume During Peak Hours</t>
  </si>
  <si>
    <t>Estimated 2025 Potential Truck and Train Conflict Volume During Peak Hours</t>
  </si>
  <si>
    <t>Estimated 2045 Potential Truck and Train Conflict Volume During Peak Hours</t>
  </si>
  <si>
    <t>Benefit Results based on Weekly conflict</t>
  </si>
  <si>
    <t>Total Emissions Benefit Results Based on Weekly conflict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</si>
</sst>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5" tint="0.59999389629810485"/>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30">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0" fillId="0" borderId="1" xfId="0" applyNumberFormat="1" applyFill="1"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2" fontId="0" fillId="0" borderId="0" xfId="0" applyNumberFormat="1"/>
    <xf numFmtId="0" fontId="0" fillId="0" borderId="0" xfId="0" applyNumberFormat="1"/>
    <xf numFmtId="0" fontId="0" fillId="7" borderId="1" xfId="0" applyFont="1" applyFill="1" applyBorder="1" applyAlignment="1">
      <alignment horizontal="center"/>
    </xf>
    <xf numFmtId="0" fontId="6" fillId="0" borderId="1" xfId="4" applyBorder="1" applyAlignment="1" applyProtection="1">
      <alignment horizontal="right" vertical="top" wrapText="1"/>
    </xf>
    <xf numFmtId="43" fontId="0" fillId="0" borderId="0" xfId="1" applyFont="1" applyBorder="1"/>
    <xf numFmtId="0" fontId="0" fillId="8" borderId="4" xfId="0" applyFont="1" applyFill="1" applyBorder="1" applyAlignment="1">
      <alignment horizontal="center"/>
    </xf>
    <xf numFmtId="0" fontId="0" fillId="0" borderId="0" xfId="0" applyBorder="1"/>
    <xf numFmtId="0" fontId="2" fillId="9" borderId="1" xfId="0" applyFont="1" applyFill="1" applyBorder="1" applyAlignment="1">
      <alignment horizontal="center" vertical="center" wrapText="1"/>
    </xf>
    <xf numFmtId="0" fontId="0" fillId="0" borderId="0" xfId="0" applyAlignment="1">
      <alignment vertical="center"/>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7" borderId="4" xfId="0" applyFont="1" applyFill="1" applyBorder="1" applyAlignment="1">
      <alignment horizontal="center"/>
    </xf>
    <xf numFmtId="0" fontId="0" fillId="0" borderId="10" xfId="0" applyFont="1" applyFill="1" applyBorder="1" applyAlignment="1">
      <alignment horizontal="center"/>
    </xf>
    <xf numFmtId="44" fontId="9" fillId="0" borderId="0" xfId="2" applyFont="1" applyBorder="1"/>
    <xf numFmtId="43" fontId="0" fillId="0" borderId="10" xfId="1" applyFont="1" applyBorder="1"/>
    <xf numFmtId="44" fontId="9" fillId="0" borderId="6" xfId="2" applyFont="1" applyBorder="1"/>
    <xf numFmtId="43" fontId="0" fillId="0" borderId="13" xfId="1" applyFont="1" applyBorder="1"/>
    <xf numFmtId="44" fontId="0" fillId="0" borderId="3" xfId="2" applyFont="1" applyBorder="1"/>
    <xf numFmtId="43" fontId="0" fillId="0" borderId="3" xfId="1" applyNumberFormat="1" applyFont="1" applyBorder="1"/>
    <xf numFmtId="0" fontId="0" fillId="0" borderId="11" xfId="0" applyBorder="1"/>
    <xf numFmtId="0" fontId="0" fillId="0" borderId="9" xfId="0" applyBorder="1"/>
    <xf numFmtId="0" fontId="0" fillId="0" borderId="0" xfId="0" applyFill="1" applyBorder="1" applyAlignment="1" applyProtection="1">
      <alignment horizontal="left"/>
      <protection locked="0"/>
    </xf>
    <xf numFmtId="0" fontId="0" fillId="10" borderId="2" xfId="0" applyFont="1" applyFill="1" applyBorder="1" applyAlignment="1">
      <alignment horizontal="center"/>
    </xf>
    <xf numFmtId="0" fontId="0" fillId="10" borderId="13" xfId="0" applyFont="1" applyFill="1" applyBorder="1" applyAlignment="1">
      <alignment horizontal="center"/>
    </xf>
    <xf numFmtId="43" fontId="0" fillId="10" borderId="13" xfId="1" applyFont="1" applyFill="1" applyBorder="1"/>
    <xf numFmtId="43" fontId="0" fillId="10" borderId="2" xfId="1" applyFont="1" applyFill="1" applyBorder="1"/>
    <xf numFmtId="6" fontId="0" fillId="0" borderId="1" xfId="0" applyNumberFormat="1" applyBorder="1"/>
    <xf numFmtId="0" fontId="0" fillId="0" borderId="1" xfId="0" applyBorder="1" applyAlignment="1">
      <alignment horizontal="center" vertical="center"/>
    </xf>
    <xf numFmtId="0" fontId="0" fillId="0" borderId="1" xfId="0" applyFill="1" applyBorder="1" applyAlignment="1">
      <alignment vertical="center"/>
    </xf>
    <xf numFmtId="44" fontId="9" fillId="13" borderId="8" xfId="2" applyFont="1" applyFill="1" applyBorder="1"/>
    <xf numFmtId="44" fontId="0" fillId="13" borderId="3" xfId="2" applyFont="1" applyFill="1" applyBorder="1"/>
    <xf numFmtId="44" fontId="9" fillId="13" borderId="0" xfId="2" applyFont="1" applyFill="1" applyBorder="1"/>
    <xf numFmtId="44" fontId="9" fillId="13" borderId="5" xfId="2" applyFont="1" applyFill="1" applyBorder="1"/>
    <xf numFmtId="44" fontId="0" fillId="13" borderId="13" xfId="2" applyFont="1" applyFill="1" applyBorder="1"/>
    <xf numFmtId="168" fontId="0" fillId="0" borderId="6" xfId="0" applyNumberFormat="1" applyBorder="1"/>
    <xf numFmtId="168" fontId="0" fillId="0" borderId="7" xfId="0" applyNumberFormat="1" applyBorder="1"/>
    <xf numFmtId="10" fontId="0" fillId="0" borderId="0" xfId="0" applyNumberFormat="1" applyFont="1" applyFill="1" applyBorder="1" applyAlignment="1">
      <alignment horizontal="center"/>
    </xf>
    <xf numFmtId="43" fontId="0" fillId="0" borderId="0" xfId="0" applyNumberFormat="1"/>
    <xf numFmtId="6" fontId="0" fillId="0" borderId="0" xfId="0" applyNumberFormat="1" applyFill="1" applyBorder="1"/>
    <xf numFmtId="0" fontId="0" fillId="14" borderId="12" xfId="0" applyFill="1" applyBorder="1" applyAlignment="1" applyProtection="1">
      <alignment horizontal="left"/>
      <protection locked="0"/>
    </xf>
    <xf numFmtId="0" fontId="0" fillId="14" borderId="1" xfId="0" applyFill="1" applyBorder="1" applyAlignment="1" applyProtection="1"/>
    <xf numFmtId="0" fontId="0" fillId="0" borderId="1" xfId="0" applyBorder="1"/>
    <xf numFmtId="0" fontId="0" fillId="10" borderId="1" xfId="0" applyFill="1" applyBorder="1"/>
    <xf numFmtId="0" fontId="3" fillId="0" borderId="1" xfId="0" applyFont="1" applyBorder="1"/>
    <xf numFmtId="2" fontId="3" fillId="0" borderId="1" xfId="0" applyNumberFormat="1" applyFont="1" applyBorder="1"/>
    <xf numFmtId="2" fontId="0" fillId="0" borderId="1" xfId="0" applyNumberFormat="1" applyBorder="1"/>
    <xf numFmtId="0" fontId="0" fillId="0" borderId="0" xfId="0" applyProtection="1">
      <protection locked="0"/>
    </xf>
    <xf numFmtId="165" fontId="0" fillId="4" borderId="1" xfId="0" applyNumberFormat="1" applyFill="1" applyBorder="1" applyProtection="1"/>
    <xf numFmtId="43" fontId="0" fillId="4" borderId="1" xfId="1" applyFont="1" applyFill="1" applyBorder="1" applyProtection="1"/>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horizontal="left"/>
      <protection locked="0"/>
    </xf>
    <xf numFmtId="0" fontId="0" fillId="14" borderId="1" xfId="0" applyFill="1" applyBorder="1" applyProtection="1">
      <protection locked="0"/>
    </xf>
    <xf numFmtId="0" fontId="0" fillId="4" borderId="1" xfId="0" applyFill="1" applyBorder="1" applyProtection="1">
      <protection locked="0"/>
    </xf>
    <xf numFmtId="0" fontId="0" fillId="2" borderId="1" xfId="0" applyFill="1" applyBorder="1" applyAlignment="1" applyProtection="1">
      <alignment horizontal="right"/>
      <protection locked="0"/>
    </xf>
    <xf numFmtId="0" fontId="0" fillId="0" borderId="0" xfId="0" applyFill="1" applyBorder="1" applyAlignment="1" applyProtection="1">
      <protection locked="0"/>
    </xf>
    <xf numFmtId="0" fontId="0" fillId="2" borderId="1" xfId="0" applyFill="1" applyBorder="1" applyAlignment="1" applyProtection="1">
      <alignment wrapText="1"/>
      <protection locked="0"/>
    </xf>
    <xf numFmtId="0" fontId="0" fillId="2" borderId="1" xfId="0" applyFill="1" applyBorder="1" applyAlignment="1" applyProtection="1">
      <alignment horizontal="left" wrapText="1"/>
      <protection locked="0"/>
    </xf>
    <xf numFmtId="0" fontId="0" fillId="0" borderId="0" xfId="0" applyFill="1" applyBorder="1" applyAlignment="1" applyProtection="1">
      <alignment horizontal="left" wrapText="1"/>
      <protection locked="0"/>
    </xf>
    <xf numFmtId="0" fontId="0" fillId="0" borderId="0" xfId="0" applyFill="1" applyBorder="1" applyProtection="1">
      <protection locked="0"/>
    </xf>
    <xf numFmtId="0" fontId="2" fillId="3" borderId="11" xfId="0" applyFont="1" applyFill="1" applyBorder="1" applyProtection="1">
      <protection locked="0"/>
    </xf>
    <xf numFmtId="0" fontId="0" fillId="0" borderId="0" xfId="0" applyFill="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right"/>
      <protection locked="0"/>
    </xf>
    <xf numFmtId="10" fontId="0" fillId="0" borderId="0" xfId="0" applyNumberFormat="1" applyProtection="1">
      <protection locked="0"/>
    </xf>
    <xf numFmtId="0" fontId="2" fillId="5" borderId="1" xfId="0" applyFont="1" applyFill="1" applyBorder="1" applyProtection="1">
      <protection locked="0"/>
    </xf>
    <xf numFmtId="165" fontId="0" fillId="0" borderId="0" xfId="0" applyNumberFormat="1" applyFill="1" applyBorder="1" applyProtection="1">
      <protection locked="0"/>
    </xf>
    <xf numFmtId="0" fontId="0" fillId="0" borderId="0" xfId="0" applyBorder="1" applyProtection="1">
      <protection locked="0"/>
    </xf>
    <xf numFmtId="0" fontId="0" fillId="0" borderId="0" xfId="0" applyAlignment="1" applyProtection="1">
      <alignment vertical="top"/>
      <protection locked="0"/>
    </xf>
    <xf numFmtId="0" fontId="0" fillId="0" borderId="0" xfId="0" applyFill="1" applyBorder="1" applyAlignment="1" applyProtection="1">
      <alignment horizontal="right"/>
      <protection locked="0"/>
    </xf>
    <xf numFmtId="0" fontId="0" fillId="2" borderId="1" xfId="0" quotePrefix="1" applyFill="1" applyBorder="1" applyAlignment="1" applyProtection="1">
      <alignment horizontal="right"/>
      <protection locked="0"/>
    </xf>
    <xf numFmtId="2" fontId="0" fillId="0" borderId="0" xfId="0" applyNumberFormat="1" applyBorder="1"/>
    <xf numFmtId="164" fontId="0" fillId="0" borderId="0" xfId="0" applyNumberFormat="1" applyProtection="1">
      <protection locked="0"/>
    </xf>
    <xf numFmtId="43" fontId="0" fillId="0" borderId="0" xfId="0" applyNumberFormat="1" applyProtection="1">
      <protection locked="0"/>
    </xf>
    <xf numFmtId="165" fontId="0" fillId="4" borderId="1" xfId="0" applyNumberFormat="1" applyFill="1" applyBorder="1" applyProtection="1">
      <protection locked="0"/>
    </xf>
    <xf numFmtId="43" fontId="0" fillId="4" borderId="1" xfId="1" applyFont="1" applyFill="1" applyBorder="1" applyProtection="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131885</xdr:colOff>
      <xdr:row>0</xdr:row>
      <xdr:rowOff>161191</xdr:rowOff>
    </xdr:from>
    <xdr:to>
      <xdr:col>8</xdr:col>
      <xdr:colOff>439615</xdr:colOff>
      <xdr:row>47</xdr:row>
      <xdr:rowOff>14654</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31885" y="161191"/>
          <a:ext cx="8902211" cy="8806963"/>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2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endParaRPr lang="en-US" sz="1200">
            <a:solidFill>
              <a:schemeClr val="bg1"/>
            </a:solidFill>
            <a:effectLst/>
            <a:latin typeface="+mn-lt"/>
            <a:ea typeface="+mn-ea"/>
            <a:cs typeface="+mn-cs"/>
          </a:endParaRPr>
        </a:p>
        <a:p>
          <a:pPr lvl="0">
            <a:lnSpc>
              <a:spcPct val="150000"/>
            </a:lnSpc>
          </a:pPr>
          <a:endParaRPr lang="en-US" sz="1100">
            <a:solidFill>
              <a:schemeClr val="bg1"/>
            </a:solidFill>
            <a:effectLst/>
            <a:latin typeface="+mn-lt"/>
            <a:ea typeface="+mn-ea"/>
            <a:cs typeface="+mn-cs"/>
          </a:endParaRPr>
        </a:p>
        <a:p>
          <a:pPr marL="171450" lvl="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200">
            <a:solidFill>
              <a:schemeClr val="bg1"/>
            </a:solidFill>
            <a:effectLst/>
            <a:latin typeface="+mn-lt"/>
            <a:ea typeface="+mn-ea"/>
            <a:cs typeface="+mn-cs"/>
          </a:endParaRPr>
        </a:p>
        <a:p>
          <a:pPr marL="171450" lvl="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Type of Improvement: Please click the drop-down arrow  on cell B14  to Select the type of intersection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B15</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Service life of project will be populated based on the intersection improvement selected in cell B15</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Vehicle Delay at Intersection Before Implementation: Please enter average vehicle delay in hours at the intersection in cell B16.  If the proposed project includes multiple intersections, please enter sum total of vehicle delay at all intersections before implementation</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Vehicle Delay at Intersection After Implementation: Please enter average vehicle delay in hours at the intersection in cell B17.  If the proposed project includes multiple intersections please enter sum total of vehicle delay at all intersections after implementation</a:t>
          </a:r>
          <a:endParaRPr lang="en-US" sz="1200">
            <a:solidFill>
              <a:schemeClr val="bg1"/>
            </a:solidFill>
            <a:effectLst/>
            <a:latin typeface="+mn-lt"/>
            <a:ea typeface="+mn-ea"/>
            <a:cs typeface="+mn-cs"/>
          </a:endParaRPr>
        </a:p>
        <a:p>
          <a:pPr marL="171450" lvl="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Daily Peak Period Intersection Traffic Volume (6-9 AM + 3-7 PM) (2018) : Please enter the peak period traffic volume at the intersection in cell B21</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Intersection Traffic Volume During Off-Peak Hours: Please enter the average daily off-peak hour traffic</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volume at the intersection in cell B22</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2018 Peak Traffic Volume at the Intersection: Please enter 2018 Peak Period traffic  Volume at the Intersection in cell B24. </a:t>
          </a:r>
          <a:r>
            <a:rPr lang="en-US" sz="1100" baseline="0">
              <a:solidFill>
                <a:schemeClr val="bg1"/>
              </a:solidFill>
              <a:effectLst/>
              <a:latin typeface="+mn-lt"/>
              <a:ea typeface="+mn-ea"/>
              <a:cs typeface="+mn-cs"/>
            </a:rPr>
            <a:t>Sponsors may choose </a:t>
          </a:r>
          <a:r>
            <a:rPr lang="en-US" sz="1100">
              <a:solidFill>
                <a:schemeClr val="bg1"/>
              </a:solidFill>
              <a:effectLst/>
              <a:latin typeface="+mn-lt"/>
              <a:ea typeface="+mn-ea"/>
              <a:cs typeface="+mn-cs"/>
            </a:rPr>
            <a:t>the latest traffic count data available form TxDOT’s traffic count data, or conduct</a:t>
          </a:r>
          <a:r>
            <a:rPr lang="en-US" sz="1100" baseline="0">
              <a:solidFill>
                <a:schemeClr val="bg1"/>
              </a:solidFill>
              <a:effectLst/>
              <a:latin typeface="+mn-lt"/>
              <a:ea typeface="+mn-ea"/>
              <a:cs typeface="+mn-cs"/>
            </a:rPr>
            <a:t> field traffic count</a:t>
          </a:r>
          <a:endParaRPr lang="en-US" sz="12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Estimated 2025 Peak Traffic Volume at the Intersection: Please enter estimated 2025 Peak Period volume at the intersection in cell B25.  </a:t>
          </a:r>
          <a:r>
            <a:rPr lang="en-US" sz="1100" baseline="0">
              <a:solidFill>
                <a:schemeClr val="bg1"/>
              </a:solidFill>
              <a:effectLst/>
              <a:latin typeface="+mn-lt"/>
              <a:ea typeface="+mn-ea"/>
              <a:cs typeface="+mn-cs"/>
            </a:rPr>
            <a:t>Sponsors may choose to estimate the 2025 peak period intersection traffic volume or may request HGAC's assistance in estimating the 2025 peak period intersection traffic volume</a:t>
          </a:r>
          <a:endParaRPr lang="en-US" sz="12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Estimated 2045 Peak Traffic Volume at the Intersection: Please enter estimated 2045 Peak Period traffic volume at the intersection in cell B26.</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Sponsors may choose to estimate the 2045 peak period intersection traffic volume or may request HGAC's assistance in estimating the 2025 peak period intersection traffic volume</a:t>
          </a:r>
          <a:endParaRPr lang="en-US" sz="1100">
            <a:solidFill>
              <a:schemeClr val="bg1"/>
            </a:solidFill>
            <a:effectLst/>
          </a:endParaRPr>
        </a:p>
        <a:p>
          <a:pPr marL="1085850" lvl="2" indent="-171450">
            <a:lnSpc>
              <a:spcPct val="150000"/>
            </a:lnSpc>
            <a:buFont typeface="Arial" panose="020B0604020202020204" pitchFamily="34" charset="0"/>
            <a:buChar char="•"/>
          </a:pPr>
          <a:endParaRPr lang="en-US" sz="12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2. Results will be populated in "red" shaded section ("Benefit Results")</a:t>
          </a:r>
          <a:endParaRPr lang="en-US" sz="1200">
            <a:solidFill>
              <a:schemeClr val="bg1"/>
            </a:solidFill>
            <a:effectLst/>
            <a:latin typeface="+mn-lt"/>
            <a:ea typeface="+mn-ea"/>
            <a:cs typeface="+mn-cs"/>
          </a:endParaRP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38100</xdr:colOff>
      <xdr:row>17</xdr:row>
      <xdr:rowOff>38100</xdr:rowOff>
    </xdr:from>
    <xdr:to>
      <xdr:col>2</xdr:col>
      <xdr:colOff>1400175</xdr:colOff>
      <xdr:row>22</xdr:row>
      <xdr:rowOff>38100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0" y="4229100"/>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gac-my.sharepoint.com/personal/decandis_h-gac_com/Documents/Projects-%20Completed/TIP%20Emissions%20Spreadsheets%20-%202018/Transit%20Benefit%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gac-my.sharepoint.com/personal/decandis_h-gac_com/Documents/Projects-%20Completed/TIP%20Emissions%20Spreadsheets%20-%202018/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AQ Funding Model"/>
      <sheetName val="Benefit Calculations"/>
      <sheetName val="Emission Factors"/>
      <sheetName val="Value of Emissions"/>
      <sheetName val="Formula Documentation"/>
      <sheetName val="Emission Calculations"/>
    </sheetNames>
    <sheetDataSet>
      <sheetData sheetId="0"/>
      <sheetData sheetId="1"/>
      <sheetData sheetId="2" refreshError="1"/>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row r="4">
          <cell r="S4">
            <v>0</v>
          </cell>
        </row>
        <row r="5">
          <cell r="S5" t="e">
            <v>#DIV/0!</v>
          </cell>
        </row>
        <row r="6">
          <cell r="S6" t="e">
            <v>#DIV/0!</v>
          </cell>
        </row>
        <row r="7">
          <cell r="S7" t="e">
            <v>#DIV/0!</v>
          </cell>
        </row>
        <row r="8">
          <cell r="S8" t="e">
            <v>#DIV/0!</v>
          </cell>
        </row>
        <row r="9">
          <cell r="S9" t="e">
            <v>#DIV/0!</v>
          </cell>
        </row>
        <row r="10">
          <cell r="S10" t="e">
            <v>#DIV/0!</v>
          </cell>
        </row>
        <row r="11">
          <cell r="S11" t="e">
            <v>#DIV/0!</v>
          </cell>
        </row>
        <row r="12">
          <cell r="S12" t="e">
            <v>#DIV/0!</v>
          </cell>
        </row>
        <row r="13">
          <cell r="S13" t="e">
            <v>#DIV/0!</v>
          </cell>
        </row>
        <row r="14">
          <cell r="S14" t="e">
            <v>#DIV/0!</v>
          </cell>
        </row>
        <row r="15">
          <cell r="S15" t="e">
            <v>#DIV/0!</v>
          </cell>
        </row>
        <row r="16">
          <cell r="S16" t="e">
            <v>#DIV/0!</v>
          </cell>
        </row>
        <row r="17">
          <cell r="S17" t="e">
            <v>#DIV/0!</v>
          </cell>
        </row>
        <row r="18">
          <cell r="S18" t="e">
            <v>#DIV/0!</v>
          </cell>
        </row>
        <row r="19">
          <cell r="S19" t="e">
            <v>#DIV/0!</v>
          </cell>
        </row>
        <row r="20">
          <cell r="S20" t="e">
            <v>#DIV/0!</v>
          </cell>
        </row>
        <row r="21">
          <cell r="S21" t="e">
            <v>#DIV/0!</v>
          </cell>
        </row>
        <row r="22">
          <cell r="S22" t="e">
            <v>#DIV/0!</v>
          </cell>
        </row>
        <row r="23">
          <cell r="S23" t="e">
            <v>#DIV/0!</v>
          </cell>
        </row>
        <row r="24">
          <cell r="S24" t="e">
            <v>#DIV/0!</v>
          </cell>
        </row>
        <row r="25">
          <cell r="S25" t="e">
            <v>#DIV/0!</v>
          </cell>
        </row>
        <row r="26">
          <cell r="S26" t="e">
            <v>#DIV/0!</v>
          </cell>
        </row>
        <row r="27">
          <cell r="S27" t="e">
            <v>#DIV/0!</v>
          </cell>
        </row>
        <row r="28">
          <cell r="S28" t="e">
            <v>#DIV/0!</v>
          </cell>
        </row>
        <row r="29">
          <cell r="S29" t="e">
            <v>#DIV/0!</v>
          </cell>
        </row>
        <row r="30">
          <cell r="S30" t="e">
            <v>#DIV/0!</v>
          </cell>
        </row>
        <row r="31">
          <cell r="S31" t="e">
            <v>#DIV/0!</v>
          </cell>
        </row>
        <row r="32">
          <cell r="S32" t="e">
            <v>#DIV/0!</v>
          </cell>
        </row>
        <row r="33">
          <cell r="S33" t="e">
            <v>#DIV/0!</v>
          </cell>
        </row>
        <row r="34">
          <cell r="S34" t="e">
            <v>#DIV/0!</v>
          </cell>
        </row>
        <row r="35">
          <cell r="S35" t="e">
            <v>#DIV/0!</v>
          </cell>
        </row>
        <row r="36">
          <cell r="S36" t="e">
            <v>#DIV/0!</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7"/>
  <sheetViews>
    <sheetView topLeftCell="A19" zoomScaleNormal="100" workbookViewId="0">
      <selection activeCell="J28" sqref="J28"/>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47</v>
      </c>
    </row>
    <row r="4" spans="1:10" x14ac:dyDescent="0.25">
      <c r="A4" s="5" t="s">
        <v>8</v>
      </c>
      <c r="B4" s="6"/>
      <c r="D4" s="5" t="s">
        <v>44</v>
      </c>
      <c r="E4" s="46">
        <v>2015</v>
      </c>
      <c r="G4" s="12">
        <f>E4</f>
        <v>2015</v>
      </c>
      <c r="H4" s="12">
        <f>IF(G4&lt;2041,1,0)</f>
        <v>1</v>
      </c>
      <c r="I4" s="21">
        <f>IF($G4&lt;($G$4+$E$5),$E$17,0)*H4</f>
        <v>0</v>
      </c>
      <c r="J4" s="35" t="e">
        <f>I4*$B$18*$B$19/10^3</f>
        <v>#REF!</v>
      </c>
    </row>
    <row r="5" spans="1:10" x14ac:dyDescent="0.25">
      <c r="A5" s="5" t="s">
        <v>9</v>
      </c>
      <c r="B5" s="6"/>
      <c r="D5" s="5" t="s">
        <v>34</v>
      </c>
      <c r="E5" s="9">
        <v>10</v>
      </c>
      <c r="G5" s="13">
        <f t="shared" ref="G5:G29" si="0">G4+1</f>
        <v>2016</v>
      </c>
      <c r="H5" s="13">
        <f t="shared" ref="H5:H29" si="1">IF(G5&lt;2041,1,0)</f>
        <v>1</v>
      </c>
      <c r="I5" s="21">
        <f t="shared" ref="I5:I29" si="2">IF($G5&lt;($G$4+$E$5),$E$17,0)*H5</f>
        <v>0</v>
      </c>
      <c r="J5" s="42" t="e">
        <f t="shared" ref="J5:J24" si="3">I5*$B$18*$B$19/10^3</f>
        <v>#REF!</v>
      </c>
    </row>
    <row r="6" spans="1:10" x14ac:dyDescent="0.25">
      <c r="A6" s="5" t="s">
        <v>10</v>
      </c>
      <c r="B6" s="6">
        <v>1</v>
      </c>
      <c r="D6" s="127" t="s">
        <v>32</v>
      </c>
      <c r="E6" s="128"/>
      <c r="G6" s="12">
        <f t="shared" si="0"/>
        <v>2017</v>
      </c>
      <c r="H6" s="12">
        <f t="shared" si="1"/>
        <v>1</v>
      </c>
      <c r="I6" s="21">
        <f t="shared" si="2"/>
        <v>0</v>
      </c>
      <c r="J6" s="35" t="e">
        <f t="shared" si="3"/>
        <v>#REF!</v>
      </c>
    </row>
    <row r="7" spans="1:10" x14ac:dyDescent="0.25">
      <c r="A7" s="5" t="s">
        <v>45</v>
      </c>
      <c r="B7" s="23"/>
      <c r="D7" s="5" t="s">
        <v>42</v>
      </c>
      <c r="E7" s="9"/>
      <c r="G7" s="13">
        <f t="shared" si="0"/>
        <v>2018</v>
      </c>
      <c r="H7" s="13">
        <f t="shared" si="1"/>
        <v>1</v>
      </c>
      <c r="I7" s="21">
        <f t="shared" si="2"/>
        <v>0</v>
      </c>
      <c r="J7" s="42" t="e">
        <f t="shared" si="3"/>
        <v>#REF!</v>
      </c>
    </row>
    <row r="8" spans="1:10" x14ac:dyDescent="0.25">
      <c r="A8" s="22" t="s">
        <v>46</v>
      </c>
      <c r="B8" s="23"/>
      <c r="D8" s="5" t="s">
        <v>40</v>
      </c>
      <c r="E8" s="45">
        <v>1.1499999999999999</v>
      </c>
      <c r="G8" s="12">
        <f t="shared" si="0"/>
        <v>2019</v>
      </c>
      <c r="H8" s="12">
        <f t="shared" si="1"/>
        <v>1</v>
      </c>
      <c r="I8" s="21">
        <f t="shared" si="2"/>
        <v>0</v>
      </c>
      <c r="J8" s="35" t="e">
        <f t="shared" si="3"/>
        <v>#REF!</v>
      </c>
    </row>
    <row r="9" spans="1:10" x14ac:dyDescent="0.25">
      <c r="G9" s="13">
        <f t="shared" si="0"/>
        <v>2020</v>
      </c>
      <c r="H9" s="13">
        <f t="shared" si="1"/>
        <v>1</v>
      </c>
      <c r="I9" s="21">
        <f t="shared" si="2"/>
        <v>0</v>
      </c>
      <c r="J9" s="42" t="e">
        <f t="shared" si="3"/>
        <v>#REF!</v>
      </c>
    </row>
    <row r="10" spans="1:10" x14ac:dyDescent="0.25">
      <c r="A10" s="11" t="s">
        <v>20</v>
      </c>
      <c r="G10" s="12">
        <f t="shared" si="0"/>
        <v>2021</v>
      </c>
      <c r="H10" s="12">
        <f t="shared" si="1"/>
        <v>1</v>
      </c>
      <c r="I10" s="21">
        <f t="shared" si="2"/>
        <v>0</v>
      </c>
      <c r="J10" s="35" t="e">
        <f t="shared" si="3"/>
        <v>#REF!</v>
      </c>
    </row>
    <row r="11" spans="1:10" x14ac:dyDescent="0.25">
      <c r="A11" s="10" t="s">
        <v>43</v>
      </c>
      <c r="B11" s="43" t="e">
        <f>NPV($B$17,J4:J29)/(1+$B$17)^(E4-B16+1)</f>
        <v>#REF!</v>
      </c>
      <c r="G11" s="13">
        <f t="shared" si="0"/>
        <v>2022</v>
      </c>
      <c r="H11" s="13">
        <f t="shared" si="1"/>
        <v>1</v>
      </c>
      <c r="I11" s="21">
        <f t="shared" si="2"/>
        <v>0</v>
      </c>
      <c r="J11" s="42" t="e">
        <f t="shared" si="3"/>
        <v>#REF!</v>
      </c>
    </row>
    <row r="12" spans="1:10" x14ac:dyDescent="0.25">
      <c r="A12" s="10" t="s">
        <v>19</v>
      </c>
      <c r="B12" s="41" t="e">
        <f>B11/B7</f>
        <v>#REF!</v>
      </c>
      <c r="G12" s="12">
        <f t="shared" si="0"/>
        <v>2023</v>
      </c>
      <c r="H12" s="12">
        <f t="shared" si="1"/>
        <v>1</v>
      </c>
      <c r="I12" s="21">
        <f t="shared" si="2"/>
        <v>0</v>
      </c>
      <c r="J12" s="35" t="e">
        <f t="shared" si="3"/>
        <v>#REF!</v>
      </c>
    </row>
    <row r="13" spans="1:10" x14ac:dyDescent="0.25">
      <c r="G13" s="13">
        <f t="shared" si="0"/>
        <v>2024</v>
      </c>
      <c r="H13" s="13">
        <f t="shared" si="1"/>
        <v>1</v>
      </c>
      <c r="I13" s="21">
        <f t="shared" si="2"/>
        <v>0</v>
      </c>
      <c r="J13" s="42" t="e">
        <f t="shared" si="3"/>
        <v>#REF!</v>
      </c>
    </row>
    <row r="14" spans="1:10" x14ac:dyDescent="0.25">
      <c r="G14" s="12">
        <f>G13+1</f>
        <v>2025</v>
      </c>
      <c r="H14" s="12">
        <f t="shared" si="1"/>
        <v>1</v>
      </c>
      <c r="I14" s="21">
        <f t="shared" si="2"/>
        <v>0</v>
      </c>
      <c r="J14" s="35" t="e">
        <f t="shared" si="3"/>
        <v>#REF!</v>
      </c>
    </row>
    <row r="15" spans="1:10" x14ac:dyDescent="0.25">
      <c r="A15" s="15" t="s">
        <v>4</v>
      </c>
      <c r="G15" s="13">
        <f t="shared" si="0"/>
        <v>2026</v>
      </c>
      <c r="H15" s="13">
        <f t="shared" si="1"/>
        <v>1</v>
      </c>
      <c r="I15" s="21">
        <f t="shared" si="2"/>
        <v>0</v>
      </c>
      <c r="J15" s="42" t="e">
        <f t="shared" si="3"/>
        <v>#REF!</v>
      </c>
    </row>
    <row r="16" spans="1:10" x14ac:dyDescent="0.25">
      <c r="A16" s="16" t="s">
        <v>5</v>
      </c>
      <c r="B16" s="26">
        <f>'Assumed Values'!C5</f>
        <v>2018</v>
      </c>
      <c r="D16" s="15" t="s">
        <v>17</v>
      </c>
      <c r="E16" s="24" t="s">
        <v>12</v>
      </c>
      <c r="G16" s="12">
        <f t="shared" si="0"/>
        <v>2027</v>
      </c>
      <c r="H16" s="12">
        <f t="shared" si="1"/>
        <v>1</v>
      </c>
      <c r="I16" s="21">
        <f t="shared" si="2"/>
        <v>0</v>
      </c>
      <c r="J16" s="35" t="e">
        <f t="shared" si="3"/>
        <v>#REF!</v>
      </c>
    </row>
    <row r="17" spans="1:10" x14ac:dyDescent="0.25">
      <c r="A17" s="16" t="s">
        <v>6</v>
      </c>
      <c r="B17" s="17">
        <f>'Assumed Values'!C6</f>
        <v>7.0000000000000007E-2</v>
      </c>
      <c r="D17" s="19" t="s">
        <v>41</v>
      </c>
      <c r="E17" s="20">
        <f>E7/E8</f>
        <v>0</v>
      </c>
      <c r="G17" s="13">
        <f t="shared" si="0"/>
        <v>2028</v>
      </c>
      <c r="H17" s="13">
        <f t="shared" si="1"/>
        <v>1</v>
      </c>
      <c r="I17" s="21">
        <f t="shared" si="2"/>
        <v>0</v>
      </c>
      <c r="J17" s="42" t="e">
        <f t="shared" si="3"/>
        <v>#REF!</v>
      </c>
    </row>
    <row r="18" spans="1:10" x14ac:dyDescent="0.25">
      <c r="A18" s="16" t="s">
        <v>7</v>
      </c>
      <c r="B18" s="16">
        <f>IF(B6=2,2.1, 1.1)</f>
        <v>1.1000000000000001</v>
      </c>
      <c r="G18" s="12">
        <f t="shared" si="0"/>
        <v>2029</v>
      </c>
      <c r="H18" s="12">
        <f t="shared" si="1"/>
        <v>1</v>
      </c>
      <c r="I18" s="21">
        <f t="shared" si="2"/>
        <v>0</v>
      </c>
      <c r="J18" s="35" t="e">
        <f t="shared" si="3"/>
        <v>#REF!</v>
      </c>
    </row>
    <row r="19" spans="1:10" x14ac:dyDescent="0.25">
      <c r="A19" s="16" t="s">
        <v>11</v>
      </c>
      <c r="B19" s="18" t="e">
        <f>'Assumed Values'!#REF!</f>
        <v>#REF!</v>
      </c>
      <c r="G19" s="13">
        <f t="shared" si="0"/>
        <v>2030</v>
      </c>
      <c r="H19" s="13">
        <f t="shared" si="1"/>
        <v>1</v>
      </c>
      <c r="I19" s="21">
        <f t="shared" si="2"/>
        <v>0</v>
      </c>
      <c r="J19" s="42" t="e">
        <f t="shared" si="3"/>
        <v>#REF!</v>
      </c>
    </row>
    <row r="20" spans="1:10" x14ac:dyDescent="0.25">
      <c r="A20" s="16" t="s">
        <v>18</v>
      </c>
      <c r="B20" s="16">
        <v>260</v>
      </c>
      <c r="G20" s="12">
        <f t="shared" si="0"/>
        <v>2031</v>
      </c>
      <c r="H20" s="12">
        <f t="shared" si="1"/>
        <v>1</v>
      </c>
      <c r="I20" s="21">
        <f t="shared" si="2"/>
        <v>0</v>
      </c>
      <c r="J20" s="35" t="e">
        <f t="shared" si="3"/>
        <v>#REF!</v>
      </c>
    </row>
    <row r="21" spans="1:10" x14ac:dyDescent="0.25">
      <c r="G21" s="13">
        <f t="shared" si="0"/>
        <v>2032</v>
      </c>
      <c r="H21" s="13">
        <f t="shared" si="1"/>
        <v>1</v>
      </c>
      <c r="I21" s="21">
        <f t="shared" si="2"/>
        <v>0</v>
      </c>
      <c r="J21" s="42" t="e">
        <f t="shared" si="3"/>
        <v>#REF!</v>
      </c>
    </row>
    <row r="22" spans="1:10" x14ac:dyDescent="0.25">
      <c r="G22" s="12">
        <f t="shared" si="0"/>
        <v>2033</v>
      </c>
      <c r="H22" s="12">
        <f t="shared" si="1"/>
        <v>1</v>
      </c>
      <c r="I22" s="21">
        <f t="shared" si="2"/>
        <v>0</v>
      </c>
      <c r="J22" s="35" t="e">
        <f t="shared" si="3"/>
        <v>#REF!</v>
      </c>
    </row>
    <row r="23" spans="1:10" x14ac:dyDescent="0.25">
      <c r="G23" s="13">
        <f t="shared" si="0"/>
        <v>2034</v>
      </c>
      <c r="H23" s="13">
        <f t="shared" si="1"/>
        <v>1</v>
      </c>
      <c r="I23" s="21">
        <f t="shared" si="2"/>
        <v>0</v>
      </c>
      <c r="J23" s="42" t="e">
        <f t="shared" si="3"/>
        <v>#REF!</v>
      </c>
    </row>
    <row r="24" spans="1:10" x14ac:dyDescent="0.25">
      <c r="G24" s="12">
        <f t="shared" si="0"/>
        <v>2035</v>
      </c>
      <c r="H24" s="12">
        <f t="shared" si="1"/>
        <v>1</v>
      </c>
      <c r="I24" s="21">
        <f t="shared" si="2"/>
        <v>0</v>
      </c>
      <c r="J24" s="35" t="e">
        <f t="shared" si="3"/>
        <v>#REF!</v>
      </c>
    </row>
    <row r="25" spans="1:10" x14ac:dyDescent="0.25">
      <c r="G25" s="13">
        <f t="shared" si="0"/>
        <v>2036</v>
      </c>
      <c r="H25" s="13">
        <f t="shared" si="1"/>
        <v>1</v>
      </c>
      <c r="I25" s="21">
        <f t="shared" si="2"/>
        <v>0</v>
      </c>
      <c r="J25" s="42" t="e">
        <f t="shared" ref="J25:J29" si="4">I25*$B$18*$B$19/10^3</f>
        <v>#REF!</v>
      </c>
    </row>
    <row r="26" spans="1:10" x14ac:dyDescent="0.25">
      <c r="G26" s="12">
        <f t="shared" si="0"/>
        <v>2037</v>
      </c>
      <c r="H26" s="12">
        <f t="shared" si="1"/>
        <v>1</v>
      </c>
      <c r="I26" s="21">
        <f t="shared" si="2"/>
        <v>0</v>
      </c>
      <c r="J26" s="35" t="e">
        <f t="shared" si="4"/>
        <v>#REF!</v>
      </c>
    </row>
    <row r="27" spans="1:10" x14ac:dyDescent="0.25">
      <c r="G27" s="13">
        <f t="shared" si="0"/>
        <v>2038</v>
      </c>
      <c r="H27" s="13">
        <f t="shared" si="1"/>
        <v>1</v>
      </c>
      <c r="I27" s="21">
        <f t="shared" si="2"/>
        <v>0</v>
      </c>
      <c r="J27" s="42" t="e">
        <f t="shared" si="4"/>
        <v>#REF!</v>
      </c>
    </row>
    <row r="28" spans="1:10" x14ac:dyDescent="0.25">
      <c r="G28" s="12">
        <f t="shared" si="0"/>
        <v>2039</v>
      </c>
      <c r="H28" s="12">
        <f t="shared" si="1"/>
        <v>1</v>
      </c>
      <c r="I28" s="21">
        <f t="shared" si="2"/>
        <v>0</v>
      </c>
      <c r="J28" s="35" t="e">
        <f t="shared" si="4"/>
        <v>#REF!</v>
      </c>
    </row>
    <row r="29" spans="1:10" x14ac:dyDescent="0.25">
      <c r="A29" s="25"/>
      <c r="G29" s="13">
        <f t="shared" si="0"/>
        <v>2040</v>
      </c>
      <c r="H29" s="13">
        <f t="shared" si="1"/>
        <v>1</v>
      </c>
      <c r="I29" s="21">
        <f t="shared" si="2"/>
        <v>0</v>
      </c>
      <c r="J29" s="42"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30</v>
      </c>
      <c r="E3" s="8" t="s">
        <v>12</v>
      </c>
      <c r="G3" s="14" t="s">
        <v>16</v>
      </c>
      <c r="H3" s="14" t="s">
        <v>39</v>
      </c>
      <c r="I3" s="14" t="s">
        <v>48</v>
      </c>
      <c r="J3" s="14" t="s">
        <v>38</v>
      </c>
      <c r="K3" s="14" t="s">
        <v>49</v>
      </c>
    </row>
    <row r="4" spans="1:11" x14ac:dyDescent="0.25">
      <c r="A4" s="5" t="s">
        <v>8</v>
      </c>
      <c r="B4" s="6"/>
      <c r="D4" s="5" t="s">
        <v>44</v>
      </c>
      <c r="E4" s="46">
        <v>2015</v>
      </c>
      <c r="G4" s="12">
        <f>E4</f>
        <v>2015</v>
      </c>
      <c r="H4" s="38" t="e">
        <f t="shared" ref="H4:H24" si="0">IF($G4&lt;($G$4+$E$5),$E$17,0)</f>
        <v>#REF!</v>
      </c>
      <c r="I4" s="37" t="e">
        <f>H4*$B$20/10^3</f>
        <v>#REF!</v>
      </c>
      <c r="J4" s="38" t="e">
        <f t="shared" ref="J4:J24" si="1">IF($G4&lt;($G$4+$E$5),$E$18,0)</f>
        <v>#REF!</v>
      </c>
      <c r="K4" s="37" t="e">
        <f>J4*$B$21/10^3</f>
        <v>#REF!</v>
      </c>
    </row>
    <row r="5" spans="1:11" x14ac:dyDescent="0.25">
      <c r="A5" s="5" t="s">
        <v>9</v>
      </c>
      <c r="B5" s="6"/>
      <c r="D5" s="5" t="s">
        <v>34</v>
      </c>
      <c r="E5" s="9">
        <v>10</v>
      </c>
      <c r="G5" s="13">
        <f t="shared" ref="G5:G29" si="2">G4+1</f>
        <v>2016</v>
      </c>
      <c r="H5" s="38" t="e">
        <f t="shared" si="0"/>
        <v>#REF!</v>
      </c>
      <c r="I5" s="39" t="e">
        <f t="shared" ref="I5:I24" si="3">H5*$B$20/10^3</f>
        <v>#REF!</v>
      </c>
      <c r="J5" s="38" t="e">
        <f t="shared" si="1"/>
        <v>#REF!</v>
      </c>
      <c r="K5" s="39" t="e">
        <f t="shared" ref="K5:K24" si="4">J5*$B$21/10^3</f>
        <v>#REF!</v>
      </c>
    </row>
    <row r="6" spans="1:11" x14ac:dyDescent="0.25">
      <c r="A6" s="5" t="s">
        <v>35</v>
      </c>
      <c r="B6" s="6">
        <v>2</v>
      </c>
      <c r="D6" s="127" t="s">
        <v>32</v>
      </c>
      <c r="E6" s="128"/>
      <c r="G6" s="12">
        <f t="shared" si="2"/>
        <v>2017</v>
      </c>
      <c r="H6" s="38" t="e">
        <f t="shared" si="0"/>
        <v>#REF!</v>
      </c>
      <c r="I6" s="37" t="e">
        <f t="shared" si="3"/>
        <v>#REF!</v>
      </c>
      <c r="J6" s="38" t="e">
        <f t="shared" si="1"/>
        <v>#REF!</v>
      </c>
      <c r="K6" s="37" t="e">
        <f t="shared" si="4"/>
        <v>#REF!</v>
      </c>
    </row>
    <row r="7" spans="1:11" x14ac:dyDescent="0.25">
      <c r="A7" s="5" t="s">
        <v>45</v>
      </c>
      <c r="B7" s="23"/>
      <c r="D7" s="5" t="s">
        <v>31</v>
      </c>
      <c r="E7" s="9"/>
      <c r="G7" s="13">
        <f t="shared" si="2"/>
        <v>2018</v>
      </c>
      <c r="H7" s="38" t="e">
        <f t="shared" si="0"/>
        <v>#REF!</v>
      </c>
      <c r="I7" s="39" t="e">
        <f t="shared" si="3"/>
        <v>#REF!</v>
      </c>
      <c r="J7" s="38" t="e">
        <f t="shared" si="1"/>
        <v>#REF!</v>
      </c>
      <c r="K7" s="39" t="e">
        <f t="shared" si="4"/>
        <v>#REF!</v>
      </c>
    </row>
    <row r="8" spans="1:11" x14ac:dyDescent="0.25">
      <c r="A8" s="22" t="s">
        <v>46</v>
      </c>
      <c r="B8" s="23"/>
      <c r="D8" s="127" t="s">
        <v>33</v>
      </c>
      <c r="E8" s="128"/>
      <c r="G8" s="12">
        <f t="shared" si="2"/>
        <v>2019</v>
      </c>
      <c r="H8" s="38" t="e">
        <f t="shared" si="0"/>
        <v>#REF!</v>
      </c>
      <c r="I8" s="37" t="e">
        <f t="shared" si="3"/>
        <v>#REF!</v>
      </c>
      <c r="J8" s="38" t="e">
        <f t="shared" si="1"/>
        <v>#REF!</v>
      </c>
      <c r="K8" s="37" t="e">
        <f t="shared" si="4"/>
        <v>#REF!</v>
      </c>
    </row>
    <row r="9" spans="1:11" x14ac:dyDescent="0.25">
      <c r="D9" s="5" t="s">
        <v>36</v>
      </c>
      <c r="E9" s="9"/>
      <c r="G9" s="13">
        <f t="shared" si="2"/>
        <v>2020</v>
      </c>
      <c r="H9" s="38" t="e">
        <f t="shared" si="0"/>
        <v>#REF!</v>
      </c>
      <c r="I9" s="39" t="e">
        <f t="shared" si="3"/>
        <v>#REF!</v>
      </c>
      <c r="J9" s="38" t="e">
        <f t="shared" si="1"/>
        <v>#REF!</v>
      </c>
      <c r="K9" s="39" t="e">
        <f t="shared" si="4"/>
        <v>#REF!</v>
      </c>
    </row>
    <row r="10" spans="1:11" x14ac:dyDescent="0.25">
      <c r="A10" s="11" t="s">
        <v>20</v>
      </c>
      <c r="D10" s="5" t="s">
        <v>37</v>
      </c>
      <c r="E10" s="9"/>
      <c r="G10" s="12">
        <f t="shared" si="2"/>
        <v>2021</v>
      </c>
      <c r="H10" s="38" t="e">
        <f t="shared" si="0"/>
        <v>#REF!</v>
      </c>
      <c r="I10" s="37" t="e">
        <f t="shared" si="3"/>
        <v>#REF!</v>
      </c>
      <c r="J10" s="38" t="e">
        <f t="shared" si="1"/>
        <v>#REF!</v>
      </c>
      <c r="K10" s="37" t="e">
        <f t="shared" si="4"/>
        <v>#REF!</v>
      </c>
    </row>
    <row r="11" spans="1:11" x14ac:dyDescent="0.25">
      <c r="A11" s="10" t="s">
        <v>50</v>
      </c>
      <c r="B11" s="40" t="e">
        <f>(NPV($B$17,K4:K24)+NPV($B$17,I4:I24))/(1+$B$17)^2</f>
        <v>#REF!</v>
      </c>
      <c r="G11" s="13">
        <f t="shared" si="2"/>
        <v>2022</v>
      </c>
      <c r="H11" s="38" t="e">
        <f t="shared" si="0"/>
        <v>#REF!</v>
      </c>
      <c r="I11" s="39" t="e">
        <f t="shared" si="3"/>
        <v>#REF!</v>
      </c>
      <c r="J11" s="38" t="e">
        <f t="shared" si="1"/>
        <v>#REF!</v>
      </c>
      <c r="K11" s="39" t="e">
        <f t="shared" si="4"/>
        <v>#REF!</v>
      </c>
    </row>
    <row r="12" spans="1:11" x14ac:dyDescent="0.25">
      <c r="A12" s="10" t="s">
        <v>19</v>
      </c>
      <c r="B12" s="41" t="e">
        <f>B11/B7</f>
        <v>#REF!</v>
      </c>
      <c r="G12" s="12">
        <f t="shared" si="2"/>
        <v>2023</v>
      </c>
      <c r="H12" s="38" t="e">
        <f t="shared" si="0"/>
        <v>#REF!</v>
      </c>
      <c r="I12" s="37" t="e">
        <f t="shared" si="3"/>
        <v>#REF!</v>
      </c>
      <c r="J12" s="38" t="e">
        <f t="shared" si="1"/>
        <v>#REF!</v>
      </c>
      <c r="K12" s="37" t="e">
        <f t="shared" si="4"/>
        <v>#REF!</v>
      </c>
    </row>
    <row r="13" spans="1:11" x14ac:dyDescent="0.25">
      <c r="A13" s="10" t="s">
        <v>51</v>
      </c>
      <c r="B13" s="40" t="e">
        <f>B7*(B17/(1-(1+B17)^(-E5))/(SUM(H4:H29)+SUM(J4:J29)))</f>
        <v>#REF!</v>
      </c>
      <c r="G13" s="13">
        <f t="shared" si="2"/>
        <v>2024</v>
      </c>
      <c r="H13" s="38" t="e">
        <f t="shared" si="0"/>
        <v>#REF!</v>
      </c>
      <c r="I13" s="39" t="e">
        <f t="shared" si="3"/>
        <v>#REF!</v>
      </c>
      <c r="J13" s="38" t="e">
        <f t="shared" si="1"/>
        <v>#REF!</v>
      </c>
      <c r="K13" s="39" t="e">
        <f t="shared" si="4"/>
        <v>#REF!</v>
      </c>
    </row>
    <row r="14" spans="1:11" x14ac:dyDescent="0.25">
      <c r="G14" s="12">
        <f>G13+1</f>
        <v>2025</v>
      </c>
      <c r="H14" s="38">
        <f t="shared" si="0"/>
        <v>0</v>
      </c>
      <c r="I14" s="37" t="e">
        <f t="shared" si="3"/>
        <v>#REF!</v>
      </c>
      <c r="J14" s="38">
        <f t="shared" si="1"/>
        <v>0</v>
      </c>
      <c r="K14" s="37" t="e">
        <f t="shared" si="4"/>
        <v>#REF!</v>
      </c>
    </row>
    <row r="15" spans="1:11" x14ac:dyDescent="0.25">
      <c r="A15" s="15" t="s">
        <v>4</v>
      </c>
      <c r="G15" s="13">
        <f t="shared" si="2"/>
        <v>2026</v>
      </c>
      <c r="H15" s="38">
        <f t="shared" si="0"/>
        <v>0</v>
      </c>
      <c r="I15" s="39" t="e">
        <f t="shared" si="3"/>
        <v>#REF!</v>
      </c>
      <c r="J15" s="38">
        <f t="shared" si="1"/>
        <v>0</v>
      </c>
      <c r="K15" s="39" t="e">
        <f t="shared" si="4"/>
        <v>#REF!</v>
      </c>
    </row>
    <row r="16" spans="1:11" x14ac:dyDescent="0.25">
      <c r="A16" s="16" t="s">
        <v>5</v>
      </c>
      <c r="B16" s="26">
        <v>2015</v>
      </c>
      <c r="D16" s="15" t="s">
        <v>17</v>
      </c>
      <c r="E16" s="24" t="s">
        <v>12</v>
      </c>
      <c r="G16" s="12">
        <f t="shared" si="2"/>
        <v>2027</v>
      </c>
      <c r="H16" s="38">
        <f t="shared" si="0"/>
        <v>0</v>
      </c>
      <c r="I16" s="37" t="e">
        <f t="shared" si="3"/>
        <v>#REF!</v>
      </c>
      <c r="J16" s="38">
        <f t="shared" si="1"/>
        <v>0</v>
      </c>
      <c r="K16" s="37" t="e">
        <f t="shared" si="4"/>
        <v>#REF!</v>
      </c>
    </row>
    <row r="17" spans="1:11" x14ac:dyDescent="0.25">
      <c r="A17" s="16" t="s">
        <v>6</v>
      </c>
      <c r="B17" s="17">
        <v>7.0000000000000007E-2</v>
      </c>
      <c r="D17" s="19" t="s">
        <v>36</v>
      </c>
      <c r="E17" s="34" t="e">
        <f>IF(E9,E9,$E$7*B18*$B$22/10^6)</f>
        <v>#REF!</v>
      </c>
      <c r="G17" s="13">
        <f t="shared" si="2"/>
        <v>2028</v>
      </c>
      <c r="H17" s="38">
        <f t="shared" si="0"/>
        <v>0</v>
      </c>
      <c r="I17" s="39" t="e">
        <f t="shared" si="3"/>
        <v>#REF!</v>
      </c>
      <c r="J17" s="38">
        <f t="shared" si="1"/>
        <v>0</v>
      </c>
      <c r="K17" s="39" t="e">
        <f t="shared" si="4"/>
        <v>#REF!</v>
      </c>
    </row>
    <row r="18" spans="1:11" x14ac:dyDescent="0.25">
      <c r="A18" s="16" t="s">
        <v>28</v>
      </c>
      <c r="B18" s="44" t="e">
        <f>IF($B$6=2,'Assumed Values'!#REF!,0)</f>
        <v>#REF!</v>
      </c>
      <c r="D18" s="19" t="s">
        <v>37</v>
      </c>
      <c r="E18" s="34" t="e">
        <f>IF(E10,E10,$E$7*B19*$B$22/10^6)</f>
        <v>#REF!</v>
      </c>
      <c r="G18" s="12">
        <f t="shared" si="2"/>
        <v>2029</v>
      </c>
      <c r="H18" s="38">
        <f t="shared" si="0"/>
        <v>0</v>
      </c>
      <c r="I18" s="37" t="e">
        <f t="shared" si="3"/>
        <v>#REF!</v>
      </c>
      <c r="J18" s="38">
        <f t="shared" si="1"/>
        <v>0</v>
      </c>
      <c r="K18" s="37" t="e">
        <f t="shared" si="4"/>
        <v>#REF!</v>
      </c>
    </row>
    <row r="19" spans="1:11" x14ac:dyDescent="0.25">
      <c r="A19" s="16" t="s">
        <v>29</v>
      </c>
      <c r="B19" s="44" t="e">
        <f>IF($B$6=2,'Assumed Values'!#REF!,0)</f>
        <v>#REF!</v>
      </c>
      <c r="G19" s="13">
        <f t="shared" si="2"/>
        <v>2030</v>
      </c>
      <c r="H19" s="38">
        <f t="shared" si="0"/>
        <v>0</v>
      </c>
      <c r="I19" s="39" t="e">
        <f t="shared" si="3"/>
        <v>#REF!</v>
      </c>
      <c r="J19" s="38">
        <f t="shared" si="1"/>
        <v>0</v>
      </c>
      <c r="K19" s="39" t="e">
        <f t="shared" si="4"/>
        <v>#REF!</v>
      </c>
    </row>
    <row r="20" spans="1:11" x14ac:dyDescent="0.25">
      <c r="A20" s="16" t="s">
        <v>52</v>
      </c>
      <c r="B20" s="36" t="e">
        <f>'Assumed Values'!#REF!</f>
        <v>#REF!</v>
      </c>
      <c r="G20" s="12">
        <f t="shared" si="2"/>
        <v>2031</v>
      </c>
      <c r="H20" s="38">
        <f t="shared" si="0"/>
        <v>0</v>
      </c>
      <c r="I20" s="37" t="e">
        <f t="shared" si="3"/>
        <v>#REF!</v>
      </c>
      <c r="J20" s="38">
        <f t="shared" si="1"/>
        <v>0</v>
      </c>
      <c r="K20" s="37" t="e">
        <f t="shared" si="4"/>
        <v>#REF!</v>
      </c>
    </row>
    <row r="21" spans="1:11" x14ac:dyDescent="0.25">
      <c r="A21" s="16" t="s">
        <v>53</v>
      </c>
      <c r="B21" s="36" t="e">
        <f>'Assumed Values'!#REF!</f>
        <v>#REF!</v>
      </c>
      <c r="G21" s="13">
        <f t="shared" si="2"/>
        <v>2032</v>
      </c>
      <c r="H21" s="38">
        <f t="shared" si="0"/>
        <v>0</v>
      </c>
      <c r="I21" s="39" t="e">
        <f t="shared" si="3"/>
        <v>#REF!</v>
      </c>
      <c r="J21" s="38">
        <f t="shared" si="1"/>
        <v>0</v>
      </c>
      <c r="K21" s="39" t="e">
        <f t="shared" si="4"/>
        <v>#REF!</v>
      </c>
    </row>
    <row r="22" spans="1:11" x14ac:dyDescent="0.25">
      <c r="A22" s="16" t="s">
        <v>18</v>
      </c>
      <c r="B22" s="16">
        <v>260</v>
      </c>
      <c r="G22" s="12">
        <f t="shared" si="2"/>
        <v>2033</v>
      </c>
      <c r="H22" s="38">
        <f t="shared" si="0"/>
        <v>0</v>
      </c>
      <c r="I22" s="37" t="e">
        <f t="shared" si="3"/>
        <v>#REF!</v>
      </c>
      <c r="J22" s="38">
        <f t="shared" si="1"/>
        <v>0</v>
      </c>
      <c r="K22" s="37" t="e">
        <f t="shared" si="4"/>
        <v>#REF!</v>
      </c>
    </row>
    <row r="23" spans="1:11" x14ac:dyDescent="0.25">
      <c r="G23" s="13">
        <f t="shared" si="2"/>
        <v>2034</v>
      </c>
      <c r="H23" s="38">
        <f t="shared" si="0"/>
        <v>0</v>
      </c>
      <c r="I23" s="39" t="e">
        <f t="shared" si="3"/>
        <v>#REF!</v>
      </c>
      <c r="J23" s="38">
        <f t="shared" si="1"/>
        <v>0</v>
      </c>
      <c r="K23" s="39" t="e">
        <f t="shared" si="4"/>
        <v>#REF!</v>
      </c>
    </row>
    <row r="24" spans="1:11" x14ac:dyDescent="0.25">
      <c r="G24" s="12">
        <f t="shared" si="2"/>
        <v>2035</v>
      </c>
      <c r="H24" s="38">
        <f t="shared" si="0"/>
        <v>0</v>
      </c>
      <c r="I24" s="37" t="e">
        <f t="shared" si="3"/>
        <v>#REF!</v>
      </c>
      <c r="J24" s="38">
        <f t="shared" si="1"/>
        <v>0</v>
      </c>
      <c r="K24" s="37" t="e">
        <f t="shared" si="4"/>
        <v>#REF!</v>
      </c>
    </row>
    <row r="25" spans="1:11" x14ac:dyDescent="0.25">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x14ac:dyDescent="0.25">
      <c r="G26" s="12">
        <f t="shared" si="2"/>
        <v>2037</v>
      </c>
      <c r="H26" s="38">
        <f t="shared" si="5"/>
        <v>0</v>
      </c>
      <c r="I26" s="37" t="e">
        <f t="shared" si="6"/>
        <v>#REF!</v>
      </c>
      <c r="J26" s="38">
        <f t="shared" si="7"/>
        <v>0</v>
      </c>
      <c r="K26" s="37" t="e">
        <f t="shared" si="8"/>
        <v>#REF!</v>
      </c>
    </row>
    <row r="27" spans="1:11" x14ac:dyDescent="0.25">
      <c r="G27" s="13">
        <f t="shared" si="2"/>
        <v>2038</v>
      </c>
      <c r="H27" s="38">
        <f t="shared" si="5"/>
        <v>0</v>
      </c>
      <c r="I27" s="39" t="e">
        <f t="shared" si="6"/>
        <v>#REF!</v>
      </c>
      <c r="J27" s="38">
        <f t="shared" si="7"/>
        <v>0</v>
      </c>
      <c r="K27" s="39" t="e">
        <f t="shared" si="8"/>
        <v>#REF!</v>
      </c>
    </row>
    <row r="28" spans="1:11" x14ac:dyDescent="0.25">
      <c r="G28" s="12">
        <f t="shared" si="2"/>
        <v>2039</v>
      </c>
      <c r="H28" s="38">
        <f t="shared" si="5"/>
        <v>0</v>
      </c>
      <c r="I28" s="37" t="e">
        <f t="shared" si="6"/>
        <v>#REF!</v>
      </c>
      <c r="J28" s="38">
        <f t="shared" si="7"/>
        <v>0</v>
      </c>
      <c r="K28" s="37" t="e">
        <f t="shared" si="8"/>
        <v>#REF!</v>
      </c>
    </row>
    <row r="29" spans="1:11" x14ac:dyDescent="0.25">
      <c r="G29" s="13">
        <f t="shared" si="2"/>
        <v>2040</v>
      </c>
      <c r="H29" s="38">
        <f>IF($G29&lt;($G$4+$E$5),$E$17,0)</f>
        <v>0</v>
      </c>
      <c r="I29" s="39" t="e">
        <f t="shared" si="6"/>
        <v>#REF!</v>
      </c>
      <c r="J29" s="38">
        <f>IF($G29&lt;($G$4+$E$5),$E$18,0)</f>
        <v>0</v>
      </c>
      <c r="K29" s="39"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3:L50"/>
  <sheetViews>
    <sheetView tabSelected="1" topLeftCell="A34" zoomScale="115" zoomScaleNormal="115" workbookViewId="0">
      <selection activeCell="B50" sqref="B50"/>
    </sheetView>
  </sheetViews>
  <sheetFormatPr defaultRowHeight="15" x14ac:dyDescent="0.25"/>
  <cols>
    <col min="1" max="1" width="53.85546875" style="96" customWidth="1"/>
    <col min="2" max="2" width="12.85546875" style="96" customWidth="1"/>
    <col min="3" max="3" width="5.28515625" style="96" customWidth="1"/>
    <col min="4" max="4" width="5.42578125" style="96" customWidth="1"/>
    <col min="5" max="16384" width="9.140625" style="96"/>
  </cols>
  <sheetData>
    <row r="3" spans="1:5" ht="18.75" x14ac:dyDescent="0.3">
      <c r="A3" s="99" t="s">
        <v>57</v>
      </c>
      <c r="B3" s="100"/>
      <c r="C3" s="100"/>
    </row>
    <row r="5" spans="1:5" ht="30" customHeight="1" x14ac:dyDescent="0.25">
      <c r="A5" s="101" t="s">
        <v>3</v>
      </c>
    </row>
    <row r="6" spans="1:5" ht="75" x14ac:dyDescent="0.25">
      <c r="A6" s="102" t="s">
        <v>8</v>
      </c>
      <c r="B6" s="108" t="s">
        <v>123</v>
      </c>
      <c r="D6" s="6"/>
      <c r="E6" s="96" t="s">
        <v>93</v>
      </c>
    </row>
    <row r="7" spans="1:5" x14ac:dyDescent="0.25">
      <c r="A7" s="102" t="s">
        <v>54</v>
      </c>
      <c r="B7" s="6"/>
      <c r="D7" s="103"/>
      <c r="E7" s="96" t="s">
        <v>117</v>
      </c>
    </row>
    <row r="8" spans="1:5" x14ac:dyDescent="0.25">
      <c r="A8" s="102" t="s">
        <v>55</v>
      </c>
      <c r="B8" s="6"/>
      <c r="D8" s="104"/>
      <c r="E8" s="96" t="s">
        <v>94</v>
      </c>
    </row>
    <row r="9" spans="1:5" x14ac:dyDescent="0.25">
      <c r="A9" s="102" t="s">
        <v>68</v>
      </c>
      <c r="B9" s="105" t="s">
        <v>75</v>
      </c>
    </row>
    <row r="11" spans="1:5" x14ac:dyDescent="0.25">
      <c r="A11" s="71"/>
      <c r="B11" s="106"/>
    </row>
    <row r="12" spans="1:5" x14ac:dyDescent="0.25">
      <c r="A12" s="101" t="s">
        <v>95</v>
      </c>
      <c r="B12" s="106"/>
    </row>
    <row r="13" spans="1:5" x14ac:dyDescent="0.25">
      <c r="A13" s="102" t="s">
        <v>59</v>
      </c>
      <c r="B13" s="46">
        <v>2028</v>
      </c>
    </row>
    <row r="14" spans="1:5" ht="30" x14ac:dyDescent="0.25">
      <c r="A14" s="6" t="s">
        <v>96</v>
      </c>
      <c r="B14" s="107" t="s">
        <v>111</v>
      </c>
    </row>
    <row r="15" spans="1:5" x14ac:dyDescent="0.25">
      <c r="A15" s="89" t="s">
        <v>102</v>
      </c>
      <c r="B15" s="90">
        <f>VLOOKUP(B14,'Service Life '!D5:E8,2,FALSE)</f>
        <v>20</v>
      </c>
    </row>
    <row r="16" spans="1:5" ht="30" x14ac:dyDescent="0.25">
      <c r="A16" s="108" t="s">
        <v>97</v>
      </c>
      <c r="B16" s="6">
        <v>0.3</v>
      </c>
    </row>
    <row r="17" spans="1:12" ht="30" x14ac:dyDescent="0.25">
      <c r="A17" s="108" t="s">
        <v>98</v>
      </c>
      <c r="B17" s="6">
        <v>0</v>
      </c>
    </row>
    <row r="18" spans="1:12" x14ac:dyDescent="0.25">
      <c r="A18" s="109"/>
      <c r="B18" s="110"/>
    </row>
    <row r="19" spans="1:12" x14ac:dyDescent="0.25">
      <c r="A19" s="109"/>
      <c r="B19" s="110"/>
    </row>
    <row r="20" spans="1:12" x14ac:dyDescent="0.25">
      <c r="A20" s="111" t="s">
        <v>99</v>
      </c>
      <c r="B20" s="110"/>
    </row>
    <row r="21" spans="1:12" x14ac:dyDescent="0.25">
      <c r="A21" s="108" t="s">
        <v>124</v>
      </c>
      <c r="B21" s="105">
        <v>212</v>
      </c>
    </row>
    <row r="22" spans="1:12" ht="30" x14ac:dyDescent="0.25">
      <c r="A22" s="108" t="s">
        <v>121</v>
      </c>
      <c r="B22" s="121">
        <v>7534</v>
      </c>
    </row>
    <row r="23" spans="1:12" s="112" customFormat="1" x14ac:dyDescent="0.25">
      <c r="A23" s="71"/>
      <c r="B23" s="120"/>
    </row>
    <row r="24" spans="1:12" ht="30" x14ac:dyDescent="0.25">
      <c r="A24" s="108" t="s">
        <v>125</v>
      </c>
      <c r="B24" s="105">
        <v>212</v>
      </c>
      <c r="L24" s="115"/>
    </row>
    <row r="25" spans="1:12" x14ac:dyDescent="0.25">
      <c r="A25" s="113" t="s">
        <v>126</v>
      </c>
      <c r="B25" s="114">
        <v>344</v>
      </c>
    </row>
    <row r="26" spans="1:12" x14ac:dyDescent="0.25">
      <c r="A26" s="113" t="s">
        <v>127</v>
      </c>
      <c r="B26" s="114">
        <v>378</v>
      </c>
      <c r="L26" s="115"/>
    </row>
    <row r="28" spans="1:12" ht="18.75" x14ac:dyDescent="0.3">
      <c r="A28" s="99" t="s">
        <v>58</v>
      </c>
      <c r="B28" s="100"/>
    </row>
    <row r="29" spans="1:12" x14ac:dyDescent="0.25">
      <c r="L29" s="115"/>
    </row>
    <row r="30" spans="1:12" x14ac:dyDescent="0.25">
      <c r="A30" s="116" t="s">
        <v>56</v>
      </c>
    </row>
    <row r="31" spans="1:12" x14ac:dyDescent="0.25">
      <c r="A31" s="104" t="s">
        <v>69</v>
      </c>
      <c r="B31" s="97">
        <f>'Benefit Calculations'!L37</f>
        <v>18734.532291966647</v>
      </c>
      <c r="C31" s="123"/>
    </row>
    <row r="32" spans="1:12" x14ac:dyDescent="0.25">
      <c r="A32" s="104" t="s">
        <v>70</v>
      </c>
      <c r="B32" s="97">
        <f>'Benefit Calculations'!R37</f>
        <v>640.29626399849121</v>
      </c>
    </row>
    <row r="33" spans="1:6" x14ac:dyDescent="0.25">
      <c r="A33" s="110"/>
      <c r="B33" s="117"/>
    </row>
    <row r="34" spans="1:6" x14ac:dyDescent="0.25">
      <c r="A34" s="116" t="s">
        <v>100</v>
      </c>
      <c r="B34" s="117"/>
    </row>
    <row r="35" spans="1:6" x14ac:dyDescent="0.25">
      <c r="A35" s="104" t="s">
        <v>101</v>
      </c>
      <c r="B35" s="97">
        <f>$B$31+$B$32</f>
        <v>19374.828555965138</v>
      </c>
    </row>
    <row r="36" spans="1:6" x14ac:dyDescent="0.25">
      <c r="C36" s="118"/>
    </row>
    <row r="37" spans="1:6" x14ac:dyDescent="0.25">
      <c r="A37" s="116" t="str">
        <f>"Project Life Total Emissions Reductions (Life of Project = "&amp;B15&amp;")"</f>
        <v>Project Life Total Emissions Reductions (Life of Project = 20)</v>
      </c>
      <c r="C37" s="118"/>
    </row>
    <row r="38" spans="1:6" x14ac:dyDescent="0.25">
      <c r="A38" s="104" t="s">
        <v>82</v>
      </c>
      <c r="B38" s="98">
        <f>'Benefit Calculations'!J37</f>
        <v>8.7478518636532971</v>
      </c>
    </row>
    <row r="39" spans="1:6" x14ac:dyDescent="0.25">
      <c r="A39" s="104" t="s">
        <v>83</v>
      </c>
      <c r="B39" s="98">
        <f>'Benefit Calculations'!P37</f>
        <v>1.1743302053518623</v>
      </c>
    </row>
    <row r="41" spans="1:6" x14ac:dyDescent="0.25">
      <c r="A41" s="116" t="s">
        <v>128</v>
      </c>
    </row>
    <row r="42" spans="1:6" x14ac:dyDescent="0.25">
      <c r="A42" s="104" t="s">
        <v>69</v>
      </c>
      <c r="B42" s="125">
        <f>B31/52</f>
        <v>360.27946715320473</v>
      </c>
    </row>
    <row r="43" spans="1:6" x14ac:dyDescent="0.25">
      <c r="A43" s="104" t="s">
        <v>70</v>
      </c>
      <c r="B43" s="125">
        <f>B32/52</f>
        <v>12.313389692278678</v>
      </c>
    </row>
    <row r="44" spans="1:6" x14ac:dyDescent="0.25">
      <c r="A44" s="110"/>
      <c r="B44" s="117"/>
      <c r="F44" s="123"/>
    </row>
    <row r="45" spans="1:6" x14ac:dyDescent="0.25">
      <c r="A45" s="116" t="s">
        <v>129</v>
      </c>
      <c r="E45" s="119"/>
      <c r="F45" s="123"/>
    </row>
    <row r="46" spans="1:6" x14ac:dyDescent="0.25">
      <c r="A46" s="104" t="s">
        <v>101</v>
      </c>
      <c r="B46" s="125">
        <f>B35/52</f>
        <v>372.59285684548342</v>
      </c>
    </row>
    <row r="47" spans="1:6" x14ac:dyDescent="0.25">
      <c r="F47" s="123"/>
    </row>
    <row r="48" spans="1:6" x14ac:dyDescent="0.25">
      <c r="A48" s="116" t="str">
        <f>"Project Life Total Emissions Reductions (Life of Project = "&amp;B26&amp;")"</f>
        <v>Project Life Total Emissions Reductions (Life of Project = 378)</v>
      </c>
      <c r="F48" s="124"/>
    </row>
    <row r="49" spans="1:6" x14ac:dyDescent="0.25">
      <c r="A49" s="104" t="s">
        <v>82</v>
      </c>
      <c r="B49" s="126">
        <f>B38/52</f>
        <v>0.16822792045487109</v>
      </c>
      <c r="F49" s="124"/>
    </row>
    <row r="50" spans="1:6" x14ac:dyDescent="0.25">
      <c r="A50" s="104" t="s">
        <v>83</v>
      </c>
      <c r="B50" s="126">
        <f>B39/52</f>
        <v>2.2583273179843506E-2</v>
      </c>
    </row>
  </sheetData>
  <sheetProtection algorithmName="SHA-512" hashValue="RS3eYHmhlk8SxTyzxvZO7kCiqeurJrhpEj7wpirCb/rIYRgOO0lidcWAfBFUL49Z2B8JxdN+yGF0DzTJMXnkcQ==" saltValue="qcekcxSrFn1vISTpneFWjg==" spinCount="100000" sheet="1"/>
  <pageMargins left="0.25" right="0.25" top="0.75" bottom="0.75" header="0.3" footer="0.3"/>
  <pageSetup scale="89"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'Emission Factors - VOC'!$B$2:$I$2</xm:f>
          </x14:formula1>
          <xm:sqref>B9</xm:sqref>
        </x14:dataValidation>
        <x14:dataValidation type="list" allowBlank="1" showInputMessage="1" showErrorMessage="1" xr:uid="{00000000-0002-0000-0300-000001000000}">
          <x14:formula1>
            <xm:f>'Service Life '!$D$6:$D$8</xm:f>
          </x14:formula1>
          <xm:sqref>B14</xm:sqref>
        </x14:dataValidation>
        <x14:dataValidation type="list" allowBlank="1" showInputMessage="1" showErrorMessage="1" xr:uid="{00000000-0002-0000-0300-000002000000}">
          <x14:formula1>
            <xm:f>'Benefit Calculations'!$D$4:$D$36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pageSetUpPr fitToPage="1"/>
  </sheetPr>
  <dimension ref="A2:V40"/>
  <sheetViews>
    <sheetView topLeftCell="C1" zoomScale="85" zoomScaleNormal="85" workbookViewId="0">
      <selection activeCell="J3" sqref="J3"/>
    </sheetView>
  </sheetViews>
  <sheetFormatPr defaultRowHeight="15" x14ac:dyDescent="0.25"/>
  <cols>
    <col min="2" max="2" width="18.7109375" customWidth="1"/>
    <col min="3" max="3" width="3.28515625" customWidth="1"/>
    <col min="4" max="4" width="7.28515625" style="1" customWidth="1"/>
    <col min="5" max="5" width="8.140625" style="1" customWidth="1"/>
    <col min="6" max="6" width="12.28515625" style="1" bestFit="1" customWidth="1"/>
    <col min="7" max="7" width="9.28515625" style="49" bestFit="1" customWidth="1"/>
    <col min="8" max="8" width="14.42578125" style="49" customWidth="1"/>
    <col min="9" max="9" width="8" style="49" bestFit="1" customWidth="1"/>
    <col min="10" max="10" width="8.140625" bestFit="1" customWidth="1"/>
    <col min="11" max="11" width="14" customWidth="1"/>
    <col min="12" max="12" width="16.42578125" customWidth="1"/>
    <col min="13" max="13" width="9.140625" bestFit="1" customWidth="1"/>
    <col min="14" max="14" width="14.42578125" customWidth="1"/>
    <col min="15" max="15" width="7.42578125" bestFit="1" customWidth="1"/>
    <col min="16" max="16" width="8.140625" bestFit="1" customWidth="1"/>
    <col min="17" max="17" width="16.28515625" customWidth="1"/>
    <col min="18" max="18" width="20.7109375" customWidth="1"/>
  </cols>
  <sheetData>
    <row r="2" spans="1:22" x14ac:dyDescent="0.25">
      <c r="D2" t="s">
        <v>63</v>
      </c>
      <c r="E2"/>
      <c r="F2"/>
      <c r="G2"/>
      <c r="H2"/>
      <c r="I2"/>
      <c r="J2" s="1"/>
      <c r="K2" s="48"/>
    </row>
    <row r="3" spans="1:22" ht="41.45" customHeight="1" x14ac:dyDescent="0.25">
      <c r="A3" s="15" t="s">
        <v>114</v>
      </c>
      <c r="B3" s="57"/>
      <c r="C3" s="56"/>
      <c r="D3" s="57" t="s">
        <v>16</v>
      </c>
      <c r="E3" s="55" t="s">
        <v>92</v>
      </c>
      <c r="F3" s="55" t="s">
        <v>86</v>
      </c>
      <c r="G3" s="55" t="s">
        <v>87</v>
      </c>
      <c r="H3" s="55" t="s">
        <v>88</v>
      </c>
      <c r="I3" s="55" t="s">
        <v>60</v>
      </c>
      <c r="J3" s="55" t="s">
        <v>115</v>
      </c>
      <c r="K3" s="58" t="s">
        <v>62</v>
      </c>
      <c r="L3" s="60" t="s">
        <v>64</v>
      </c>
      <c r="M3" s="55" t="s">
        <v>89</v>
      </c>
      <c r="N3" s="55" t="s">
        <v>90</v>
      </c>
      <c r="O3" s="55" t="s">
        <v>91</v>
      </c>
      <c r="P3" s="55" t="s">
        <v>116</v>
      </c>
      <c r="Q3" s="55" t="s">
        <v>65</v>
      </c>
      <c r="R3" s="59" t="s">
        <v>66</v>
      </c>
    </row>
    <row r="4" spans="1:22" x14ac:dyDescent="0.25">
      <c r="A4" s="69" t="s">
        <v>80</v>
      </c>
      <c r="B4" s="84">
        <f>HLOOKUP('Inputs &amp; Outputs'!$B$9,'Emission Factors - NOx'!$B$6:$I$7,2)</f>
        <v>0.38155000656850002</v>
      </c>
      <c r="D4" s="61">
        <v>2018</v>
      </c>
      <c r="E4" s="62">
        <f>IF(AND(D4&gt;='Inputs &amp; Outputs'!B$13,D4&lt;'Inputs &amp; Outputs'!B$13+'Inputs &amp; Outputs'!B$15),1,0)</f>
        <v>0</v>
      </c>
      <c r="F4" s="86">
        <f>('Inputs &amp; Outputs'!$B$25/'Inputs &amp; Outputs'!$B$24)^(1/(2025-2018))-1</f>
        <v>7.1597760646626263E-2</v>
      </c>
      <c r="G4" s="52">
        <f>((('Inputs &amp; Outputs'!$B$16-'Inputs &amp; Outputs'!$B$17)*$B$4*'Inputs &amp; Outputs'!$B$22)+(('Inputs &amp; Outputs'!$B$16-'Inputs &amp; Outputs'!$B$17)*$B$4*'Inputs &amp; Outputs'!$B$21))</f>
        <v>886.64590526388031</v>
      </c>
      <c r="H4" s="52">
        <f>G4</f>
        <v>886.64590526388031</v>
      </c>
      <c r="I4" s="52">
        <f>E4*H4</f>
        <v>0</v>
      </c>
      <c r="J4" s="52">
        <f>(I4*(1/907184))*260</f>
        <v>0</v>
      </c>
      <c r="K4" s="63">
        <f>ABS(J4*'Assumed Values'!$C$12)</f>
        <v>0</v>
      </c>
      <c r="L4" s="81">
        <f t="shared" ref="L4:L36" si="0">K4/(1.07^(D4-D$4))</f>
        <v>0</v>
      </c>
      <c r="M4" s="64">
        <f>((('Inputs &amp; Outputs'!$B$16-'Inputs &amp; Outputs'!$B$17)*$B$5*'Inputs &amp; Outputs'!$B$22)+(('Inputs &amp; Outputs'!$B$16-'Inputs &amp; Outputs'!$B$17)*$B$5*'Inputs &amp; Outputs'!$B$21))</f>
        <v>131.30864386708893</v>
      </c>
      <c r="N4" s="52">
        <f>M4</f>
        <v>131.30864386708893</v>
      </c>
      <c r="O4" s="52">
        <f t="shared" ref="O4:O36" si="1">E4*N4</f>
        <v>0</v>
      </c>
      <c r="P4" s="52">
        <f>(O4*(1/907184))*260</f>
        <v>0</v>
      </c>
      <c r="Q4" s="65">
        <f>ABS(P4*'Assumed Values'!$C$11)</f>
        <v>0</v>
      </c>
      <c r="R4" s="79">
        <f t="shared" ref="R4:R36" si="2">Q4/(1.07^(D4-D$4))</f>
        <v>0</v>
      </c>
      <c r="T4" s="62"/>
    </row>
    <row r="5" spans="1:22" x14ac:dyDescent="0.25">
      <c r="A5" s="70" t="s">
        <v>81</v>
      </c>
      <c r="B5" s="85">
        <f>HLOOKUP('Inputs &amp; Outputs'!$B$9,'Emission Factors - VOC'!$B$6:$I$7,2)</f>
        <v>5.6506000459199998E-2</v>
      </c>
      <c r="D5" s="13">
        <f t="shared" ref="D5:D36" si="3">D4+1</f>
        <v>2019</v>
      </c>
      <c r="E5" s="62">
        <f>IF(AND(D5&gt;='Inputs &amp; Outputs'!B$13,D5&lt;'Inputs &amp; Outputs'!B$13+'Inputs &amp; Outputs'!B$15),1,0)</f>
        <v>0</v>
      </c>
      <c r="F5" s="86">
        <f>('Inputs &amp; Outputs'!$B$25/'Inputs &amp; Outputs'!$B$24)^(1/(2025-2018))-1</f>
        <v>7.1597760646626263E-2</v>
      </c>
      <c r="G5" s="52">
        <f>((('Inputs &amp; Outputs'!$B$16-'Inputs &amp; Outputs'!$B$17)*$B$4*'Inputs &amp; Outputs'!$B$22)+(('Inputs &amp; Outputs'!$B$16-'Inputs &amp; Outputs'!$B$17)*$B$4*'Inputs &amp; Outputs'!$B$21))</f>
        <v>886.64590526388031</v>
      </c>
      <c r="H5" s="52">
        <f>(H4*F5)+H4</f>
        <v>950.12776656727488</v>
      </c>
      <c r="I5" s="52">
        <f t="shared" ref="I5:I36" si="4">E5*H5</f>
        <v>0</v>
      </c>
      <c r="J5" s="52">
        <f t="shared" ref="J5:J36" si="5">(I5*(1/907184))*260</f>
        <v>0</v>
      </c>
      <c r="K5" s="63">
        <f>ABS(J5*'Assumed Values'!$C$12)</f>
        <v>0</v>
      </c>
      <c r="L5" s="81">
        <f t="shared" si="0"/>
        <v>0</v>
      </c>
      <c r="M5" s="64">
        <f>((('Inputs &amp; Outputs'!$B$16-'Inputs &amp; Outputs'!$B$17)*$B$5*'Inputs &amp; Outputs'!$B$22)+(('Inputs &amp; Outputs'!$B$16-'Inputs &amp; Outputs'!$B$17)*$B$5*'Inputs &amp; Outputs'!$B$21))</f>
        <v>131.30864386708893</v>
      </c>
      <c r="N5" s="52">
        <f t="shared" ref="N5:N36" si="6">(N$4*F5)+N4</f>
        <v>140.71004872151786</v>
      </c>
      <c r="O5" s="52">
        <f t="shared" si="1"/>
        <v>0</v>
      </c>
      <c r="P5" s="52">
        <f t="shared" ref="P5:P36" si="7">(O5*(1/907184))*260</f>
        <v>0</v>
      </c>
      <c r="Q5" s="65">
        <f>ABS(P5*'Assumed Values'!$C$11)</f>
        <v>0</v>
      </c>
      <c r="R5" s="79">
        <f t="shared" si="2"/>
        <v>0</v>
      </c>
      <c r="T5" s="62"/>
    </row>
    <row r="6" spans="1:22" x14ac:dyDescent="0.25">
      <c r="D6" s="50">
        <f t="shared" si="3"/>
        <v>2020</v>
      </c>
      <c r="E6" s="62">
        <f>IF(AND(D6&gt;='Inputs &amp; Outputs'!B$13,D6&lt;'Inputs &amp; Outputs'!B$13+'Inputs &amp; Outputs'!B$15),1,0)</f>
        <v>0</v>
      </c>
      <c r="F6" s="86">
        <f>('Inputs &amp; Outputs'!$B$25/'Inputs &amp; Outputs'!$B$24)^(1/(2025-2018))-1</f>
        <v>7.1597760646626263E-2</v>
      </c>
      <c r="G6" s="52">
        <f>((('Inputs &amp; Outputs'!$B$16-'Inputs &amp; Outputs'!$B$17)*$B$4*'Inputs &amp; Outputs'!$B$22)+(('Inputs &amp; Outputs'!$B$16-'Inputs &amp; Outputs'!$B$17)*$B$4*'Inputs &amp; Outputs'!$B$21))</f>
        <v>886.64590526388031</v>
      </c>
      <c r="H6" s="52">
        <f t="shared" ref="H6:H36" si="8">(H5*F6)+H5</f>
        <v>1018.1547869816723</v>
      </c>
      <c r="I6" s="52">
        <f t="shared" si="4"/>
        <v>0</v>
      </c>
      <c r="J6" s="52">
        <f t="shared" si="5"/>
        <v>0</v>
      </c>
      <c r="K6" s="63">
        <f>ABS(J6*'Assumed Values'!$C$12)</f>
        <v>0</v>
      </c>
      <c r="L6" s="81">
        <f t="shared" si="0"/>
        <v>0</v>
      </c>
      <c r="M6" s="64">
        <f>((('Inputs &amp; Outputs'!$B$16-'Inputs &amp; Outputs'!$B$17)*$B$5*'Inputs &amp; Outputs'!$B$22)+(('Inputs &amp; Outputs'!$B$16-'Inputs &amp; Outputs'!$B$17)*$B$5*'Inputs &amp; Outputs'!$B$21))</f>
        <v>131.30864386708893</v>
      </c>
      <c r="N6" s="52">
        <f t="shared" si="6"/>
        <v>150.1114535759468</v>
      </c>
      <c r="O6" s="52">
        <f t="shared" si="1"/>
        <v>0</v>
      </c>
      <c r="P6" s="52">
        <f t="shared" si="7"/>
        <v>0</v>
      </c>
      <c r="Q6" s="65">
        <f>ABS(P6*'Assumed Values'!$C$11)</f>
        <v>0</v>
      </c>
      <c r="R6" s="79">
        <f t="shared" si="2"/>
        <v>0</v>
      </c>
      <c r="T6" s="62"/>
    </row>
    <row r="7" spans="1:22" x14ac:dyDescent="0.25">
      <c r="D7" s="13">
        <f t="shared" si="3"/>
        <v>2021</v>
      </c>
      <c r="E7" s="62">
        <f>IF(AND(D7&gt;='Inputs &amp; Outputs'!B$13,D7&lt;'Inputs &amp; Outputs'!B$13+'Inputs &amp; Outputs'!B$15),1,0)</f>
        <v>0</v>
      </c>
      <c r="F7" s="86">
        <f>('Inputs &amp; Outputs'!$B$25/'Inputs &amp; Outputs'!$B$24)^(1/(2025-2018))-1</f>
        <v>7.1597760646626263E-2</v>
      </c>
      <c r="G7" s="52">
        <f>((('Inputs &amp; Outputs'!$B$16-'Inputs &amp; Outputs'!$B$17)*$B$4*'Inputs &amp; Outputs'!$B$22)+(('Inputs &amp; Outputs'!$B$16-'Inputs &amp; Outputs'!$B$17)*$B$4*'Inputs &amp; Outputs'!$B$21))</f>
        <v>886.64590526388031</v>
      </c>
      <c r="H7" s="52">
        <f t="shared" si="8"/>
        <v>1091.0523897212029</v>
      </c>
      <c r="I7" s="52">
        <f t="shared" si="4"/>
        <v>0</v>
      </c>
      <c r="J7" s="52">
        <f t="shared" si="5"/>
        <v>0</v>
      </c>
      <c r="K7" s="63">
        <f>ABS(J7*'Assumed Values'!$C$12)</f>
        <v>0</v>
      </c>
      <c r="L7" s="81">
        <f t="shared" si="0"/>
        <v>0</v>
      </c>
      <c r="M7" s="64">
        <f>((('Inputs &amp; Outputs'!$B$16-'Inputs &amp; Outputs'!$B$17)*$B$5*'Inputs &amp; Outputs'!$B$22)+(('Inputs &amp; Outputs'!$B$16-'Inputs &amp; Outputs'!$B$17)*$B$5*'Inputs &amp; Outputs'!$B$21))</f>
        <v>131.30864386708893</v>
      </c>
      <c r="N7" s="52">
        <f t="shared" si="6"/>
        <v>159.51285843037573</v>
      </c>
      <c r="O7" s="52">
        <f t="shared" si="1"/>
        <v>0</v>
      </c>
      <c r="P7" s="52">
        <f t="shared" si="7"/>
        <v>0</v>
      </c>
      <c r="Q7" s="65">
        <f>ABS(P7*'Assumed Values'!$C$11)</f>
        <v>0</v>
      </c>
      <c r="R7" s="79">
        <f t="shared" si="2"/>
        <v>0</v>
      </c>
      <c r="T7" s="62"/>
      <c r="V7" s="87"/>
    </row>
    <row r="8" spans="1:22" x14ac:dyDescent="0.25">
      <c r="D8" s="50">
        <f t="shared" si="3"/>
        <v>2022</v>
      </c>
      <c r="E8" s="62">
        <f>IF(AND(D8&gt;='Inputs &amp; Outputs'!B$13,D8&lt;'Inputs &amp; Outputs'!B$13+'Inputs &amp; Outputs'!B$15),1,0)</f>
        <v>0</v>
      </c>
      <c r="F8" s="86">
        <f>('Inputs &amp; Outputs'!$B$25/'Inputs &amp; Outputs'!$B$24)^(1/(2025-2018))-1</f>
        <v>7.1597760646626263E-2</v>
      </c>
      <c r="G8" s="52">
        <f>((('Inputs &amp; Outputs'!$B$16-'Inputs &amp; Outputs'!$B$17)*$B$4*'Inputs &amp; Outputs'!$B$22)+(('Inputs &amp; Outputs'!$B$16-'Inputs &amp; Outputs'!$B$17)*$B$4*'Inputs &amp; Outputs'!$B$21))</f>
        <v>886.64590526388031</v>
      </c>
      <c r="H8" s="52">
        <f t="shared" si="8"/>
        <v>1169.1692975733911</v>
      </c>
      <c r="I8" s="52">
        <f t="shared" si="4"/>
        <v>0</v>
      </c>
      <c r="J8" s="52">
        <f t="shared" si="5"/>
        <v>0</v>
      </c>
      <c r="K8" s="63">
        <f>ABS(J8*'Assumed Values'!$C$12)</f>
        <v>0</v>
      </c>
      <c r="L8" s="81">
        <f t="shared" si="0"/>
        <v>0</v>
      </c>
      <c r="M8" s="64">
        <f>((('Inputs &amp; Outputs'!$B$16-'Inputs &amp; Outputs'!$B$17)*$B$5*'Inputs &amp; Outputs'!$B$22)+(('Inputs &amp; Outputs'!$B$16-'Inputs &amp; Outputs'!$B$17)*$B$5*'Inputs &amp; Outputs'!$B$21))</f>
        <v>131.30864386708893</v>
      </c>
      <c r="N8" s="52">
        <f t="shared" si="6"/>
        <v>168.91426328480466</v>
      </c>
      <c r="O8" s="52">
        <f t="shared" si="1"/>
        <v>0</v>
      </c>
      <c r="P8" s="52">
        <f t="shared" si="7"/>
        <v>0</v>
      </c>
      <c r="Q8" s="65">
        <f>ABS(P8*'Assumed Values'!$C$11)</f>
        <v>0</v>
      </c>
      <c r="R8" s="79">
        <f t="shared" si="2"/>
        <v>0</v>
      </c>
      <c r="T8" s="62"/>
    </row>
    <row r="9" spans="1:22" x14ac:dyDescent="0.25">
      <c r="D9" s="13">
        <f t="shared" si="3"/>
        <v>2023</v>
      </c>
      <c r="E9" s="62">
        <f>IF(AND(D9&gt;='Inputs &amp; Outputs'!B$13,D9&lt;'Inputs &amp; Outputs'!B$13+'Inputs &amp; Outputs'!B$15),1,0)</f>
        <v>0</v>
      </c>
      <c r="F9" s="86">
        <f>('Inputs &amp; Outputs'!$B$25/'Inputs &amp; Outputs'!$B$24)^(1/(2025-2018))-1</f>
        <v>7.1597760646626263E-2</v>
      </c>
      <c r="G9" s="52">
        <f>((('Inputs &amp; Outputs'!$B$16-'Inputs &amp; Outputs'!$B$17)*$B$4*'Inputs &amp; Outputs'!$B$22)+(('Inputs &amp; Outputs'!$B$16-'Inputs &amp; Outputs'!$B$17)*$B$4*'Inputs &amp; Outputs'!$B$21))</f>
        <v>886.64590526388031</v>
      </c>
      <c r="H9" s="52">
        <f t="shared" si="8"/>
        <v>1252.8792010964348</v>
      </c>
      <c r="I9" s="52">
        <f t="shared" si="4"/>
        <v>0</v>
      </c>
      <c r="J9" s="52">
        <f t="shared" si="5"/>
        <v>0</v>
      </c>
      <c r="K9" s="63">
        <f>ABS(J9*'Assumed Values'!$C$12)</f>
        <v>0</v>
      </c>
      <c r="L9" s="81">
        <f t="shared" si="0"/>
        <v>0</v>
      </c>
      <c r="M9" s="64">
        <f>((('Inputs &amp; Outputs'!$B$16-'Inputs &amp; Outputs'!$B$17)*$B$5*'Inputs &amp; Outputs'!$B$22)+(('Inputs &amp; Outputs'!$B$16-'Inputs &amp; Outputs'!$B$17)*$B$5*'Inputs &amp; Outputs'!$B$21))</f>
        <v>131.30864386708893</v>
      </c>
      <c r="N9" s="52">
        <f t="shared" si="6"/>
        <v>178.31566813923359</v>
      </c>
      <c r="O9" s="52">
        <f t="shared" si="1"/>
        <v>0</v>
      </c>
      <c r="P9" s="52">
        <f t="shared" si="7"/>
        <v>0</v>
      </c>
      <c r="Q9" s="65">
        <f>ABS(P9*'Assumed Values'!$C$11)</f>
        <v>0</v>
      </c>
      <c r="R9" s="79">
        <f t="shared" si="2"/>
        <v>0</v>
      </c>
      <c r="T9" s="62"/>
    </row>
    <row r="10" spans="1:22" x14ac:dyDescent="0.25">
      <c r="D10" s="50">
        <f t="shared" si="3"/>
        <v>2024</v>
      </c>
      <c r="E10" s="62">
        <f>IF(AND(D10&gt;='Inputs &amp; Outputs'!B$13,D10&lt;'Inputs &amp; Outputs'!B$13+'Inputs &amp; Outputs'!B$15),1,0)</f>
        <v>0</v>
      </c>
      <c r="F10" s="86">
        <f>('Inputs &amp; Outputs'!$B$25/'Inputs &amp; Outputs'!$B$24)^(1/(2025-2018))-1</f>
        <v>7.1597760646626263E-2</v>
      </c>
      <c r="G10" s="52">
        <f>((('Inputs &amp; Outputs'!$B$16-'Inputs &amp; Outputs'!$B$17)*$B$4*'Inputs &amp; Outputs'!$B$22)+(('Inputs &amp; Outputs'!$B$16-'Inputs &amp; Outputs'!$B$17)*$B$4*'Inputs &amp; Outputs'!$B$21))</f>
        <v>886.64590526388031</v>
      </c>
      <c r="H10" s="52">
        <f t="shared" si="8"/>
        <v>1342.5825462556736</v>
      </c>
      <c r="I10" s="52">
        <f t="shared" si="4"/>
        <v>0</v>
      </c>
      <c r="J10" s="52">
        <f t="shared" si="5"/>
        <v>0</v>
      </c>
      <c r="K10" s="63">
        <f>ABS(J10*'Assumed Values'!$C$12)</f>
        <v>0</v>
      </c>
      <c r="L10" s="81">
        <f t="shared" si="0"/>
        <v>0</v>
      </c>
      <c r="M10" s="64">
        <f>((('Inputs &amp; Outputs'!$B$16-'Inputs &amp; Outputs'!$B$17)*$B$5*'Inputs &amp; Outputs'!$B$22)+(('Inputs &amp; Outputs'!$B$16-'Inputs &amp; Outputs'!$B$17)*$B$5*'Inputs &amp; Outputs'!$B$21))</f>
        <v>131.30864386708893</v>
      </c>
      <c r="N10" s="52">
        <f t="shared" si="6"/>
        <v>187.71707299366253</v>
      </c>
      <c r="O10" s="52">
        <f t="shared" si="1"/>
        <v>0</v>
      </c>
      <c r="P10" s="52">
        <f t="shared" si="7"/>
        <v>0</v>
      </c>
      <c r="Q10" s="65">
        <f>ABS(P10*'Assumed Values'!$C$11)</f>
        <v>0</v>
      </c>
      <c r="R10" s="79">
        <f t="shared" si="2"/>
        <v>0</v>
      </c>
      <c r="T10" s="62"/>
    </row>
    <row r="11" spans="1:22" x14ac:dyDescent="0.25">
      <c r="D11" s="13">
        <f t="shared" si="3"/>
        <v>2025</v>
      </c>
      <c r="E11" s="62">
        <f>IF(AND(D11&gt;='Inputs &amp; Outputs'!B$13,D11&lt;'Inputs &amp; Outputs'!B$13+'Inputs &amp; Outputs'!B$15),1,0)</f>
        <v>0</v>
      </c>
      <c r="F11" s="86">
        <f>('Inputs &amp; Outputs'!$B$25/'Inputs &amp; Outputs'!$B$24)^(1/(2025-2018))-1</f>
        <v>7.1597760646626263E-2</v>
      </c>
      <c r="G11" s="52">
        <f>((('Inputs &amp; Outputs'!$B$16-'Inputs &amp; Outputs'!$B$17)*$B$4*'Inputs &amp; Outputs'!$B$22)+(('Inputs &amp; Outputs'!$B$16-'Inputs &amp; Outputs'!$B$17)*$B$4*'Inputs &amp; Outputs'!$B$21))</f>
        <v>886.64590526388031</v>
      </c>
      <c r="H11" s="52">
        <f t="shared" si="8"/>
        <v>1438.7084500508254</v>
      </c>
      <c r="I11" s="52">
        <f t="shared" si="4"/>
        <v>0</v>
      </c>
      <c r="J11" s="52">
        <f t="shared" si="5"/>
        <v>0</v>
      </c>
      <c r="K11" s="63">
        <f>ABS(J11*'Assumed Values'!$C$12)</f>
        <v>0</v>
      </c>
      <c r="L11" s="81">
        <f t="shared" si="0"/>
        <v>0</v>
      </c>
      <c r="M11" s="64">
        <f>((('Inputs &amp; Outputs'!$B$16-'Inputs &amp; Outputs'!$B$17)*$B$5*'Inputs &amp; Outputs'!$B$22)+(('Inputs &amp; Outputs'!$B$16-'Inputs &amp; Outputs'!$B$17)*$B$5*'Inputs &amp; Outputs'!$B$21))</f>
        <v>131.30864386708893</v>
      </c>
      <c r="N11" s="52">
        <f t="shared" si="6"/>
        <v>197.11847784809146</v>
      </c>
      <c r="O11" s="52">
        <f t="shared" si="1"/>
        <v>0</v>
      </c>
      <c r="P11" s="52">
        <f t="shared" si="7"/>
        <v>0</v>
      </c>
      <c r="Q11" s="65">
        <f>ABS(P11*'Assumed Values'!$C$11)</f>
        <v>0</v>
      </c>
      <c r="R11" s="79">
        <f t="shared" si="2"/>
        <v>0</v>
      </c>
      <c r="T11" s="62"/>
    </row>
    <row r="12" spans="1:22" x14ac:dyDescent="0.25">
      <c r="D12" s="50">
        <f t="shared" si="3"/>
        <v>2026</v>
      </c>
      <c r="E12" s="62">
        <f>IF(AND(D12&gt;='Inputs &amp; Outputs'!B$13,D12&lt;'Inputs &amp; Outputs'!B$13+'Inputs &amp; Outputs'!B$15),1,0)</f>
        <v>0</v>
      </c>
      <c r="F12" s="86">
        <f>('Inputs &amp; Outputs'!$B$26/'Inputs &amp; Outputs'!$B$25)^(1/(2045-2025))-1</f>
        <v>4.7237488027600527E-3</v>
      </c>
      <c r="G12" s="52">
        <f>((('Inputs &amp; Outputs'!$B$16-'Inputs &amp; Outputs'!$B$17)*$B$4*'Inputs &amp; Outputs'!$B$22)+(('Inputs &amp; Outputs'!$B$16-'Inputs &amp; Outputs'!$B$17)*$B$4*'Inputs &amp; Outputs'!$B$21))</f>
        <v>886.64590526388031</v>
      </c>
      <c r="H12" s="52">
        <f t="shared" si="8"/>
        <v>1445.5045473692737</v>
      </c>
      <c r="I12" s="52">
        <f t="shared" si="4"/>
        <v>0</v>
      </c>
      <c r="J12" s="52">
        <f t="shared" si="5"/>
        <v>0</v>
      </c>
      <c r="K12" s="63">
        <f>ABS(J12*'Assumed Values'!$C$12)</f>
        <v>0</v>
      </c>
      <c r="L12" s="81">
        <f t="shared" si="0"/>
        <v>0</v>
      </c>
      <c r="M12" s="64">
        <f>((('Inputs &amp; Outputs'!$B$16-'Inputs &amp; Outputs'!$B$17)*$B$5*'Inputs &amp; Outputs'!$B$22)+(('Inputs &amp; Outputs'!$B$16-'Inputs &amp; Outputs'!$B$17)*$B$5*'Inputs &amp; Outputs'!$B$21))</f>
        <v>131.30864386708893</v>
      </c>
      <c r="N12" s="52">
        <f t="shared" si="6"/>
        <v>197.73874689735067</v>
      </c>
      <c r="O12" s="52">
        <f t="shared" si="1"/>
        <v>0</v>
      </c>
      <c r="P12" s="52">
        <f t="shared" si="7"/>
        <v>0</v>
      </c>
      <c r="Q12" s="65">
        <f>ABS(P12*'Assumed Values'!$C$11)</f>
        <v>0</v>
      </c>
      <c r="R12" s="79">
        <f t="shared" si="2"/>
        <v>0</v>
      </c>
      <c r="T12" s="62"/>
    </row>
    <row r="13" spans="1:22" x14ac:dyDescent="0.25">
      <c r="D13" s="13">
        <f t="shared" si="3"/>
        <v>2027</v>
      </c>
      <c r="E13" s="62">
        <f>IF(AND(D13&gt;='Inputs &amp; Outputs'!B$13,D13&lt;'Inputs &amp; Outputs'!B$13+'Inputs &amp; Outputs'!B$15),1,0)</f>
        <v>0</v>
      </c>
      <c r="F13" s="86">
        <f>('Inputs &amp; Outputs'!$B$26/'Inputs &amp; Outputs'!$B$25)^(1/(2045-2025))-1</f>
        <v>4.7237488027600527E-3</v>
      </c>
      <c r="G13" s="52">
        <f>((('Inputs &amp; Outputs'!$B$16-'Inputs &amp; Outputs'!$B$17)*$B$4*'Inputs &amp; Outputs'!$B$22)+(('Inputs &amp; Outputs'!$B$16-'Inputs &amp; Outputs'!$B$17)*$B$4*'Inputs &amp; Outputs'!$B$21))</f>
        <v>886.64590526388031</v>
      </c>
      <c r="H13" s="52">
        <f t="shared" si="8"/>
        <v>1452.3327477442936</v>
      </c>
      <c r="I13" s="52">
        <f t="shared" si="4"/>
        <v>0</v>
      </c>
      <c r="J13" s="52">
        <f t="shared" si="5"/>
        <v>0</v>
      </c>
      <c r="K13" s="63">
        <f>ABS(J13*'Assumed Values'!$C$12)</f>
        <v>0</v>
      </c>
      <c r="L13" s="81">
        <f t="shared" si="0"/>
        <v>0</v>
      </c>
      <c r="M13" s="64">
        <f>((('Inputs &amp; Outputs'!$B$16-'Inputs &amp; Outputs'!$B$17)*$B$5*'Inputs &amp; Outputs'!$B$22)+(('Inputs &amp; Outputs'!$B$16-'Inputs &amp; Outputs'!$B$17)*$B$5*'Inputs &amp; Outputs'!$B$21))</f>
        <v>131.30864386708893</v>
      </c>
      <c r="N13" s="52">
        <f t="shared" si="6"/>
        <v>198.35901594660987</v>
      </c>
      <c r="O13" s="52">
        <f t="shared" si="1"/>
        <v>0</v>
      </c>
      <c r="P13" s="52">
        <f t="shared" si="7"/>
        <v>0</v>
      </c>
      <c r="Q13" s="65">
        <f>ABS(P13*'Assumed Values'!$C$11)</f>
        <v>0</v>
      </c>
      <c r="R13" s="79">
        <f t="shared" si="2"/>
        <v>0</v>
      </c>
      <c r="T13" s="62"/>
    </row>
    <row r="14" spans="1:22" x14ac:dyDescent="0.25">
      <c r="D14" s="50">
        <f t="shared" si="3"/>
        <v>2028</v>
      </c>
      <c r="E14" s="62">
        <f>IF(AND(D14&gt;='Inputs &amp; Outputs'!B$13,D14&lt;'Inputs &amp; Outputs'!B$13+'Inputs &amp; Outputs'!B$15),1,0)</f>
        <v>1</v>
      </c>
      <c r="F14" s="86">
        <f>('Inputs &amp; Outputs'!$B$26/'Inputs &amp; Outputs'!$B$25)^(1/(2045-2025))-1</f>
        <v>4.7237488027600527E-3</v>
      </c>
      <c r="G14" s="52">
        <f>((('Inputs &amp; Outputs'!$B$16-'Inputs &amp; Outputs'!$B$17)*$B$4*'Inputs &amp; Outputs'!$B$22)+(('Inputs &amp; Outputs'!$B$16-'Inputs &amp; Outputs'!$B$17)*$B$4*'Inputs &amp; Outputs'!$B$21))</f>
        <v>886.64590526388031</v>
      </c>
      <c r="H14" s="52">
        <f t="shared" si="8"/>
        <v>1459.1932028226599</v>
      </c>
      <c r="I14" s="52">
        <f t="shared" si="4"/>
        <v>1459.1932028226599</v>
      </c>
      <c r="J14" s="52">
        <f t="shared" si="5"/>
        <v>0.41820648593217208</v>
      </c>
      <c r="K14" s="63">
        <f>ABS(J14*'Assumed Values'!$C$12)</f>
        <v>3139.8942963787481</v>
      </c>
      <c r="L14" s="81">
        <f t="shared" si="0"/>
        <v>1596.1630429419745</v>
      </c>
      <c r="M14" s="64">
        <f>((('Inputs &amp; Outputs'!$B$16-'Inputs &amp; Outputs'!$B$17)*$B$5*'Inputs &amp; Outputs'!$B$22)+(('Inputs &amp; Outputs'!$B$16-'Inputs &amp; Outputs'!$B$17)*$B$5*'Inputs &amp; Outputs'!$B$21))</f>
        <v>131.30864386708893</v>
      </c>
      <c r="N14" s="52">
        <f t="shared" si="6"/>
        <v>198.97928499586908</v>
      </c>
      <c r="O14" s="52">
        <f t="shared" si="1"/>
        <v>198.97928499586908</v>
      </c>
      <c r="P14" s="52">
        <f t="shared" si="7"/>
        <v>5.7027696805638059E-2</v>
      </c>
      <c r="Q14" s="65">
        <f>ABS(P14*'Assumed Values'!$C$11)</f>
        <v>108.63776241474051</v>
      </c>
      <c r="R14" s="79">
        <f t="shared" si="2"/>
        <v>55.225929622632989</v>
      </c>
      <c r="T14" s="62"/>
    </row>
    <row r="15" spans="1:22" x14ac:dyDescent="0.25">
      <c r="D15" s="13">
        <f t="shared" si="3"/>
        <v>2029</v>
      </c>
      <c r="E15" s="62">
        <f>IF(AND(D15&gt;='Inputs &amp; Outputs'!B$13,D15&lt;'Inputs &amp; Outputs'!B$13+'Inputs &amp; Outputs'!B$15),1,0)</f>
        <v>1</v>
      </c>
      <c r="F15" s="86">
        <f>('Inputs &amp; Outputs'!$B$26/'Inputs &amp; Outputs'!$B$25)^(1/(2045-2025))-1</f>
        <v>4.7237488027600527E-3</v>
      </c>
      <c r="G15" s="52">
        <f>((('Inputs &amp; Outputs'!$B$16-'Inputs &amp; Outputs'!$B$17)*$B$4*'Inputs &amp; Outputs'!$B$22)+(('Inputs &amp; Outputs'!$B$16-'Inputs &amp; Outputs'!$B$17)*$B$4*'Inputs &amp; Outputs'!$B$21))</f>
        <v>886.64590526388031</v>
      </c>
      <c r="H15" s="52">
        <f t="shared" si="8"/>
        <v>1466.0860649674892</v>
      </c>
      <c r="I15" s="52">
        <f t="shared" si="4"/>
        <v>1466.0860649674892</v>
      </c>
      <c r="J15" s="52">
        <f t="shared" si="5"/>
        <v>0.42018198831940068</v>
      </c>
      <c r="K15" s="63">
        <f>ABS(J15*'Assumed Values'!$C$12)</f>
        <v>3154.7263683020601</v>
      </c>
      <c r="L15" s="81">
        <f t="shared" si="0"/>
        <v>1498.7877721542814</v>
      </c>
      <c r="M15" s="64">
        <f>((('Inputs &amp; Outputs'!$B$16-'Inputs &amp; Outputs'!$B$17)*$B$5*'Inputs &amp; Outputs'!$B$22)+(('Inputs &amp; Outputs'!$B$16-'Inputs &amp; Outputs'!$B$17)*$B$5*'Inputs &amp; Outputs'!$B$21))</f>
        <v>131.30864386708893</v>
      </c>
      <c r="N15" s="52">
        <f t="shared" si="6"/>
        <v>199.59955404512829</v>
      </c>
      <c r="O15" s="52">
        <f t="shared" si="1"/>
        <v>199.59955404512829</v>
      </c>
      <c r="P15" s="52">
        <f t="shared" si="7"/>
        <v>5.7205466643738594E-2</v>
      </c>
      <c r="Q15" s="65">
        <f>ABS(P15*'Assumed Values'!$C$11)</f>
        <v>108.97641395632202</v>
      </c>
      <c r="R15" s="79">
        <f t="shared" si="2"/>
        <v>51.773909246800258</v>
      </c>
      <c r="T15" s="62"/>
    </row>
    <row r="16" spans="1:22" x14ac:dyDescent="0.25">
      <c r="D16" s="50">
        <f t="shared" si="3"/>
        <v>2030</v>
      </c>
      <c r="E16" s="62">
        <f>IF(AND(D16&gt;='Inputs &amp; Outputs'!B$13,D16&lt;'Inputs &amp; Outputs'!B$13+'Inputs &amp; Outputs'!B$15),1,0)</f>
        <v>1</v>
      </c>
      <c r="F16" s="86">
        <f>('Inputs &amp; Outputs'!$B$26/'Inputs &amp; Outputs'!$B$25)^(1/(2045-2025))-1</f>
        <v>4.7237488027600527E-3</v>
      </c>
      <c r="G16" s="52">
        <f>((('Inputs &amp; Outputs'!$B$16-'Inputs &amp; Outputs'!$B$17)*$B$4*'Inputs &amp; Outputs'!$B$22)+(('Inputs &amp; Outputs'!$B$16-'Inputs &amp; Outputs'!$B$17)*$B$4*'Inputs &amp; Outputs'!$B$21))</f>
        <v>886.64590526388031</v>
      </c>
      <c r="H16" s="52">
        <f t="shared" si="8"/>
        <v>1473.0114872616225</v>
      </c>
      <c r="I16" s="52">
        <f t="shared" si="4"/>
        <v>1473.0114872616225</v>
      </c>
      <c r="J16" s="52">
        <f t="shared" si="5"/>
        <v>0.42216682248366577</v>
      </c>
      <c r="K16" s="63">
        <f>ABS(J16*'Assumed Values'!$C$12)</f>
        <v>3169.6285032073624</v>
      </c>
      <c r="L16" s="81">
        <f t="shared" si="0"/>
        <v>1407.3529617743802</v>
      </c>
      <c r="M16" s="64">
        <f>((('Inputs &amp; Outputs'!$B$16-'Inputs &amp; Outputs'!$B$17)*$B$5*'Inputs &amp; Outputs'!$B$22)+(('Inputs &amp; Outputs'!$B$16-'Inputs &amp; Outputs'!$B$17)*$B$5*'Inputs &amp; Outputs'!$B$21))</f>
        <v>131.30864386708893</v>
      </c>
      <c r="N16" s="52">
        <f t="shared" si="6"/>
        <v>200.21982309438749</v>
      </c>
      <c r="O16" s="52">
        <f t="shared" si="1"/>
        <v>200.21982309438749</v>
      </c>
      <c r="P16" s="52">
        <f t="shared" si="7"/>
        <v>5.7383236481839128E-2</v>
      </c>
      <c r="Q16" s="65">
        <f>ABS(P16*'Assumed Values'!$C$11)</f>
        <v>109.31506549790353</v>
      </c>
      <c r="R16" s="79">
        <f t="shared" si="2"/>
        <v>48.53719640625345</v>
      </c>
      <c r="T16" s="62"/>
    </row>
    <row r="17" spans="4:20" x14ac:dyDescent="0.25">
      <c r="D17" s="13">
        <f t="shared" si="3"/>
        <v>2031</v>
      </c>
      <c r="E17" s="62">
        <f>IF(AND(D17&gt;='Inputs &amp; Outputs'!B$13,D17&lt;'Inputs &amp; Outputs'!B$13+'Inputs &amp; Outputs'!B$15),1,0)</f>
        <v>1</v>
      </c>
      <c r="F17" s="86">
        <f>('Inputs &amp; Outputs'!$B$26/'Inputs &amp; Outputs'!$B$25)^(1/(2045-2025))-1</f>
        <v>4.7237488027600527E-3</v>
      </c>
      <c r="G17" s="52">
        <f>((('Inputs &amp; Outputs'!$B$16-'Inputs &amp; Outputs'!$B$17)*$B$4*'Inputs &amp; Outputs'!$B$22)+(('Inputs &amp; Outputs'!$B$16-'Inputs &amp; Outputs'!$B$17)*$B$4*'Inputs &amp; Outputs'!$B$21))</f>
        <v>886.64590526388031</v>
      </c>
      <c r="H17" s="52">
        <f t="shared" si="8"/>
        <v>1479.9696235110264</v>
      </c>
      <c r="I17" s="52">
        <f t="shared" si="4"/>
        <v>1479.9696235110264</v>
      </c>
      <c r="J17" s="52">
        <f t="shared" si="5"/>
        <v>0.42416103250593801</v>
      </c>
      <c r="K17" s="63">
        <f>ABS(J17*'Assumed Values'!$C$12)</f>
        <v>3184.6010320545824</v>
      </c>
      <c r="L17" s="81">
        <f t="shared" si="0"/>
        <v>1321.496209011797</v>
      </c>
      <c r="M17" s="64">
        <f>((('Inputs &amp; Outputs'!$B$16-'Inputs &amp; Outputs'!$B$17)*$B$5*'Inputs &amp; Outputs'!$B$22)+(('Inputs &amp; Outputs'!$B$16-'Inputs &amp; Outputs'!$B$17)*$B$5*'Inputs &amp; Outputs'!$B$21))</f>
        <v>131.30864386708893</v>
      </c>
      <c r="N17" s="52">
        <f t="shared" si="6"/>
        <v>200.8400921436467</v>
      </c>
      <c r="O17" s="52">
        <f t="shared" si="1"/>
        <v>200.8400921436467</v>
      </c>
      <c r="P17" s="52">
        <f t="shared" si="7"/>
        <v>5.7561006319939663E-2</v>
      </c>
      <c r="Q17" s="65">
        <f>ABS(P17*'Assumed Values'!$C$11)</f>
        <v>109.65371703948506</v>
      </c>
      <c r="R17" s="79">
        <f t="shared" si="2"/>
        <v>45.502394150215849</v>
      </c>
      <c r="T17" s="62"/>
    </row>
    <row r="18" spans="4:20" x14ac:dyDescent="0.25">
      <c r="D18" s="50">
        <f t="shared" si="3"/>
        <v>2032</v>
      </c>
      <c r="E18" s="62">
        <f>IF(AND(D18&gt;='Inputs &amp; Outputs'!B$13,D18&lt;'Inputs &amp; Outputs'!B$13+'Inputs &amp; Outputs'!B$15),1,0)</f>
        <v>1</v>
      </c>
      <c r="F18" s="86">
        <f>('Inputs &amp; Outputs'!$B$26/'Inputs &amp; Outputs'!$B$25)^(1/(2045-2025))-1</f>
        <v>4.7237488027600527E-3</v>
      </c>
      <c r="G18" s="52">
        <f>((('Inputs &amp; Outputs'!$B$16-'Inputs &amp; Outputs'!$B$17)*$B$4*'Inputs &amp; Outputs'!$B$22)+(('Inputs &amp; Outputs'!$B$16-'Inputs &amp; Outputs'!$B$17)*$B$4*'Inputs &amp; Outputs'!$B$21))</f>
        <v>886.64590526388031</v>
      </c>
      <c r="H18" s="52">
        <f t="shared" si="8"/>
        <v>1486.9606282482077</v>
      </c>
      <c r="I18" s="52">
        <f t="shared" si="4"/>
        <v>1486.9606282482077</v>
      </c>
      <c r="J18" s="52">
        <f t="shared" si="5"/>
        <v>0.42616466267541536</v>
      </c>
      <c r="K18" s="63">
        <f>ABS(J18*'Assumed Values'!$C$12)</f>
        <v>3199.6442873670185</v>
      </c>
      <c r="L18" s="81">
        <f t="shared" si="0"/>
        <v>1240.8772197635217</v>
      </c>
      <c r="M18" s="64">
        <f>((('Inputs &amp; Outputs'!$B$16-'Inputs &amp; Outputs'!$B$17)*$B$5*'Inputs &amp; Outputs'!$B$22)+(('Inputs &amp; Outputs'!$B$16-'Inputs &amp; Outputs'!$B$17)*$B$5*'Inputs &amp; Outputs'!$B$21))</f>
        <v>131.30864386708893</v>
      </c>
      <c r="N18" s="52">
        <f t="shared" si="6"/>
        <v>201.46036119290591</v>
      </c>
      <c r="O18" s="52">
        <f t="shared" si="1"/>
        <v>201.46036119290591</v>
      </c>
      <c r="P18" s="52">
        <f t="shared" si="7"/>
        <v>5.7738776158040191E-2</v>
      </c>
      <c r="Q18" s="65">
        <f>ABS(P18*'Assumed Values'!$C$11)</f>
        <v>109.99236858106656</v>
      </c>
      <c r="R18" s="79">
        <f t="shared" si="2"/>
        <v>42.656936916069924</v>
      </c>
      <c r="T18" s="62"/>
    </row>
    <row r="19" spans="4:20" x14ac:dyDescent="0.25">
      <c r="D19" s="13">
        <f t="shared" si="3"/>
        <v>2033</v>
      </c>
      <c r="E19" s="62">
        <f>IF(AND(D19&gt;='Inputs &amp; Outputs'!B$13,D19&lt;'Inputs &amp; Outputs'!B$13+'Inputs &amp; Outputs'!B$15),1,0)</f>
        <v>1</v>
      </c>
      <c r="F19" s="86">
        <f>('Inputs &amp; Outputs'!$B$26/'Inputs &amp; Outputs'!$B$25)^(1/(2045-2025))-1</f>
        <v>4.7237488027600527E-3</v>
      </c>
      <c r="G19" s="52">
        <f>((('Inputs &amp; Outputs'!$B$16-'Inputs &amp; Outputs'!$B$17)*$B$4*'Inputs &amp; Outputs'!$B$22)+(('Inputs &amp; Outputs'!$B$16-'Inputs &amp; Outputs'!$B$17)*$B$4*'Inputs &amp; Outputs'!$B$21))</f>
        <v>886.64590526388031</v>
      </c>
      <c r="H19" s="52">
        <f t="shared" si="8"/>
        <v>1493.9846567356465</v>
      </c>
      <c r="I19" s="52">
        <f t="shared" si="4"/>
        <v>1493.9846567356465</v>
      </c>
      <c r="J19" s="52">
        <f t="shared" si="5"/>
        <v>0.42817775749050702</v>
      </c>
      <c r="K19" s="63">
        <f>ABS(J19*'Assumed Values'!$C$12)</f>
        <v>3214.7586032387267</v>
      </c>
      <c r="L19" s="81">
        <f t="shared" si="0"/>
        <v>1165.1764598549082</v>
      </c>
      <c r="M19" s="64">
        <f>((('Inputs &amp; Outputs'!$B$16-'Inputs &amp; Outputs'!$B$17)*$B$5*'Inputs &amp; Outputs'!$B$22)+(('Inputs &amp; Outputs'!$B$16-'Inputs &amp; Outputs'!$B$17)*$B$5*'Inputs &amp; Outputs'!$B$21))</f>
        <v>131.30864386708893</v>
      </c>
      <c r="N19" s="52">
        <f t="shared" si="6"/>
        <v>202.08063024216511</v>
      </c>
      <c r="O19" s="52">
        <f t="shared" si="1"/>
        <v>202.08063024216511</v>
      </c>
      <c r="P19" s="52">
        <f t="shared" si="7"/>
        <v>5.7916545996140725E-2</v>
      </c>
      <c r="Q19" s="65">
        <f>ABS(P19*'Assumed Values'!$C$11)</f>
        <v>110.33102012264808</v>
      </c>
      <c r="R19" s="79">
        <f t="shared" si="2"/>
        <v>39.989039086534888</v>
      </c>
      <c r="T19" s="62"/>
    </row>
    <row r="20" spans="4:20" x14ac:dyDescent="0.25">
      <c r="D20" s="50">
        <f t="shared" si="3"/>
        <v>2034</v>
      </c>
      <c r="E20" s="62">
        <f>IF(AND(D20&gt;='Inputs &amp; Outputs'!B$13,D20&lt;'Inputs &amp; Outputs'!B$13+'Inputs &amp; Outputs'!B$15),1,0)</f>
        <v>1</v>
      </c>
      <c r="F20" s="86">
        <f>('Inputs &amp; Outputs'!$B$26/'Inputs &amp; Outputs'!$B$25)^(1/(2045-2025))-1</f>
        <v>4.7237488027600527E-3</v>
      </c>
      <c r="G20" s="52">
        <f>((('Inputs &amp; Outputs'!$B$16-'Inputs &amp; Outputs'!$B$17)*$B$4*'Inputs &amp; Outputs'!$B$22)+(('Inputs &amp; Outputs'!$B$16-'Inputs &amp; Outputs'!$B$17)*$B$4*'Inputs &amp; Outputs'!$B$21))</f>
        <v>886.64590526388031</v>
      </c>
      <c r="H20" s="52">
        <f t="shared" si="8"/>
        <v>1501.0418649692433</v>
      </c>
      <c r="I20" s="52">
        <f t="shared" si="4"/>
        <v>1501.0418649692433</v>
      </c>
      <c r="J20" s="52">
        <f t="shared" si="5"/>
        <v>0.43020036165982123</v>
      </c>
      <c r="K20" s="63">
        <f>ABS(J20*'Assumed Values'!$C$12)</f>
        <v>3229.9443153419379</v>
      </c>
      <c r="L20" s="81">
        <f t="shared" si="0"/>
        <v>1094.093888562759</v>
      </c>
      <c r="M20" s="64">
        <f>((('Inputs &amp; Outputs'!$B$16-'Inputs &amp; Outputs'!$B$17)*$B$5*'Inputs &amp; Outputs'!$B$22)+(('Inputs &amp; Outputs'!$B$16-'Inputs &amp; Outputs'!$B$17)*$B$5*'Inputs &amp; Outputs'!$B$21))</f>
        <v>131.30864386708893</v>
      </c>
      <c r="N20" s="52">
        <f t="shared" si="6"/>
        <v>202.70089929142432</v>
      </c>
      <c r="O20" s="52">
        <f t="shared" si="1"/>
        <v>202.70089929142432</v>
      </c>
      <c r="P20" s="52">
        <f t="shared" si="7"/>
        <v>5.809431583424126E-2</v>
      </c>
      <c r="Q20" s="65">
        <f>ABS(P20*'Assumed Values'!$C$11)</f>
        <v>110.6696716642296</v>
      </c>
      <c r="R20" s="79">
        <f t="shared" si="2"/>
        <v>37.487646719464358</v>
      </c>
      <c r="T20" s="62"/>
    </row>
    <row r="21" spans="4:20" x14ac:dyDescent="0.25">
      <c r="D21" s="13">
        <f t="shared" si="3"/>
        <v>2035</v>
      </c>
      <c r="E21" s="62">
        <f>IF(AND(D21&gt;='Inputs &amp; Outputs'!B$13,D21&lt;'Inputs &amp; Outputs'!B$13+'Inputs &amp; Outputs'!B$15),1,0)</f>
        <v>1</v>
      </c>
      <c r="F21" s="86">
        <f>('Inputs &amp; Outputs'!$B$26/'Inputs &amp; Outputs'!$B$25)^(1/(2045-2025))-1</f>
        <v>4.7237488027600527E-3</v>
      </c>
      <c r="G21" s="52">
        <f>((('Inputs &amp; Outputs'!$B$16-'Inputs &amp; Outputs'!$B$17)*$B$4*'Inputs &amp; Outputs'!$B$22)+(('Inputs &amp; Outputs'!$B$16-'Inputs &amp; Outputs'!$B$17)*$B$4*'Inputs &amp; Outputs'!$B$21))</f>
        <v>886.64590526388031</v>
      </c>
      <c r="H21" s="52">
        <f t="shared" si="8"/>
        <v>1508.1324096817846</v>
      </c>
      <c r="I21" s="52">
        <f t="shared" si="4"/>
        <v>1508.1324096817846</v>
      </c>
      <c r="J21" s="52">
        <f t="shared" si="5"/>
        <v>0.43223252010315877</v>
      </c>
      <c r="K21" s="63">
        <f>ABS(J21*'Assumed Values'!$C$12)</f>
        <v>3245.2017609345162</v>
      </c>
      <c r="L21" s="81">
        <f t="shared" si="0"/>
        <v>1027.3477694009014</v>
      </c>
      <c r="M21" s="64">
        <f>((('Inputs &amp; Outputs'!$B$16-'Inputs &amp; Outputs'!$B$17)*$B$5*'Inputs &amp; Outputs'!$B$22)+(('Inputs &amp; Outputs'!$B$16-'Inputs &amp; Outputs'!$B$17)*$B$5*'Inputs &amp; Outputs'!$B$21))</f>
        <v>131.30864386708893</v>
      </c>
      <c r="N21" s="52">
        <f t="shared" si="6"/>
        <v>203.32116834068353</v>
      </c>
      <c r="O21" s="52">
        <f t="shared" si="1"/>
        <v>203.32116834068353</v>
      </c>
      <c r="P21" s="52">
        <f t="shared" si="7"/>
        <v>5.8272085672341795E-2</v>
      </c>
      <c r="Q21" s="65">
        <f>ABS(P21*'Assumed Values'!$C$11)</f>
        <v>111.00832320581112</v>
      </c>
      <c r="R21" s="79">
        <f t="shared" si="2"/>
        <v>35.142392255322591</v>
      </c>
      <c r="T21" s="62"/>
    </row>
    <row r="22" spans="4:20" x14ac:dyDescent="0.25">
      <c r="D22" s="50">
        <f t="shared" si="3"/>
        <v>2036</v>
      </c>
      <c r="E22" s="62">
        <f>IF(AND(D22&gt;='Inputs &amp; Outputs'!B$13,D22&lt;'Inputs &amp; Outputs'!B$13+'Inputs &amp; Outputs'!B$15),1,0)</f>
        <v>1</v>
      </c>
      <c r="F22" s="86">
        <f>('Inputs &amp; Outputs'!$B$26/'Inputs &amp; Outputs'!$B$25)^(1/(2045-2025))-1</f>
        <v>4.7237488027600527E-3</v>
      </c>
      <c r="G22" s="52">
        <f>((('Inputs &amp; Outputs'!$B$16-'Inputs &amp; Outputs'!$B$17)*$B$4*'Inputs &amp; Outputs'!$B$22)+(('Inputs &amp; Outputs'!$B$16-'Inputs &amp; Outputs'!$B$17)*$B$4*'Inputs &amp; Outputs'!$B$21))</f>
        <v>886.64590526388031</v>
      </c>
      <c r="H22" s="52">
        <f t="shared" si="8"/>
        <v>1515.2564483464225</v>
      </c>
      <c r="I22" s="52">
        <f t="shared" si="4"/>
        <v>1515.2564483464225</v>
      </c>
      <c r="J22" s="52">
        <f t="shared" si="5"/>
        <v>0.43427427795251</v>
      </c>
      <c r="K22" s="63">
        <f>ABS(J22*'Assumed Values'!$C$12)</f>
        <v>3260.5312788674451</v>
      </c>
      <c r="L22" s="81">
        <f t="shared" si="0"/>
        <v>964.67355345479154</v>
      </c>
      <c r="M22" s="64">
        <f>((('Inputs &amp; Outputs'!$B$16-'Inputs &amp; Outputs'!$B$17)*$B$5*'Inputs &amp; Outputs'!$B$22)+(('Inputs &amp; Outputs'!$B$16-'Inputs &amp; Outputs'!$B$17)*$B$5*'Inputs &amp; Outputs'!$B$21))</f>
        <v>131.30864386708893</v>
      </c>
      <c r="N22" s="52">
        <f t="shared" si="6"/>
        <v>203.94143738994273</v>
      </c>
      <c r="O22" s="52">
        <f t="shared" si="1"/>
        <v>203.94143738994273</v>
      </c>
      <c r="P22" s="52">
        <f t="shared" si="7"/>
        <v>5.8449855510442322E-2</v>
      </c>
      <c r="Q22" s="65">
        <f>ABS(P22*'Assumed Values'!$C$11)</f>
        <v>111.34697474739262</v>
      </c>
      <c r="R22" s="79">
        <f t="shared" si="2"/>
        <v>32.943552019325686</v>
      </c>
      <c r="T22" s="62"/>
    </row>
    <row r="23" spans="4:20" x14ac:dyDescent="0.25">
      <c r="D23" s="13">
        <f t="shared" si="3"/>
        <v>2037</v>
      </c>
      <c r="E23" s="62">
        <f>IF(AND(D23&gt;='Inputs &amp; Outputs'!B$13,D23&lt;'Inputs &amp; Outputs'!B$13+'Inputs &amp; Outputs'!B$15),1,0)</f>
        <v>1</v>
      </c>
      <c r="F23" s="86">
        <f>('Inputs &amp; Outputs'!$B$26/'Inputs &amp; Outputs'!$B$25)^(1/(2045-2025))-1</f>
        <v>4.7237488027600527E-3</v>
      </c>
      <c r="G23" s="52">
        <f>((('Inputs &amp; Outputs'!$B$16-'Inputs &amp; Outputs'!$B$17)*$B$4*'Inputs &amp; Outputs'!$B$22)+(('Inputs &amp; Outputs'!$B$16-'Inputs &amp; Outputs'!$B$17)*$B$4*'Inputs &amp; Outputs'!$B$21))</f>
        <v>886.64590526388031</v>
      </c>
      <c r="H23" s="52">
        <f t="shared" si="8"/>
        <v>1522.4141391801734</v>
      </c>
      <c r="I23" s="52">
        <f t="shared" si="4"/>
        <v>1522.4141391801734</v>
      </c>
      <c r="J23" s="52">
        <f t="shared" si="5"/>
        <v>0.43632568055305765</v>
      </c>
      <c r="K23" s="63">
        <f>ABS(J23*'Assumed Values'!$C$12)</f>
        <v>3275.9332095923569</v>
      </c>
      <c r="L23" s="81">
        <f t="shared" si="0"/>
        <v>905.82283083923164</v>
      </c>
      <c r="M23" s="64">
        <f>((('Inputs &amp; Outputs'!$B$16-'Inputs &amp; Outputs'!$B$17)*$B$5*'Inputs &amp; Outputs'!$B$22)+(('Inputs &amp; Outputs'!$B$16-'Inputs &amp; Outputs'!$B$17)*$B$5*'Inputs &amp; Outputs'!$B$21))</f>
        <v>131.30864386708893</v>
      </c>
      <c r="N23" s="52">
        <f t="shared" si="6"/>
        <v>204.56170643920194</v>
      </c>
      <c r="O23" s="52">
        <f t="shared" si="1"/>
        <v>204.56170643920194</v>
      </c>
      <c r="P23" s="52">
        <f t="shared" si="7"/>
        <v>5.8627625348542864E-2</v>
      </c>
      <c r="Q23" s="65">
        <f>ABS(P23*'Assumed Values'!$C$11)</f>
        <v>111.68562628897415</v>
      </c>
      <c r="R23" s="79">
        <f t="shared" si="2"/>
        <v>30.882006346435833</v>
      </c>
      <c r="T23" s="62"/>
    </row>
    <row r="24" spans="4:20" x14ac:dyDescent="0.25">
      <c r="D24" s="50">
        <f t="shared" si="3"/>
        <v>2038</v>
      </c>
      <c r="E24" s="62">
        <f>IF(AND(D24&gt;='Inputs &amp; Outputs'!B$13,D24&lt;'Inputs &amp; Outputs'!B$13+'Inputs &amp; Outputs'!B$15),1,0)</f>
        <v>1</v>
      </c>
      <c r="F24" s="86">
        <f>('Inputs &amp; Outputs'!$B$26/'Inputs &amp; Outputs'!$B$25)^(1/(2045-2025))-1</f>
        <v>4.7237488027600527E-3</v>
      </c>
      <c r="G24" s="52">
        <f>((('Inputs &amp; Outputs'!$B$16-'Inputs &amp; Outputs'!$B$17)*$B$4*'Inputs &amp; Outputs'!$B$22)+(('Inputs &amp; Outputs'!$B$16-'Inputs &amp; Outputs'!$B$17)*$B$4*'Inputs &amp; Outputs'!$B$21))</f>
        <v>886.64590526388031</v>
      </c>
      <c r="H24" s="52">
        <f t="shared" si="8"/>
        <v>1529.6056411474308</v>
      </c>
      <c r="I24" s="52">
        <f t="shared" si="4"/>
        <v>1529.6056411474308</v>
      </c>
      <c r="J24" s="52">
        <f t="shared" si="5"/>
        <v>0.43838677346418364</v>
      </c>
      <c r="K24" s="63">
        <f>ABS(J24*'Assumed Values'!$C$12)</f>
        <v>3291.4078951690908</v>
      </c>
      <c r="L24" s="81">
        <f t="shared" si="0"/>
        <v>850.56234612329092</v>
      </c>
      <c r="M24" s="64">
        <f>((('Inputs &amp; Outputs'!$B$16-'Inputs &amp; Outputs'!$B$17)*$B$5*'Inputs &amp; Outputs'!$B$22)+(('Inputs &amp; Outputs'!$B$16-'Inputs &amp; Outputs'!$B$17)*$B$5*'Inputs &amp; Outputs'!$B$21))</f>
        <v>131.30864386708893</v>
      </c>
      <c r="N24" s="52">
        <f t="shared" si="6"/>
        <v>205.18197548846115</v>
      </c>
      <c r="O24" s="52">
        <f t="shared" si="1"/>
        <v>205.18197548846115</v>
      </c>
      <c r="P24" s="52">
        <f t="shared" si="7"/>
        <v>5.8805395186643392E-2</v>
      </c>
      <c r="Q24" s="65">
        <f>ABS(P24*'Assumed Values'!$C$11)</f>
        <v>112.02427783055566</v>
      </c>
      <c r="R24" s="79">
        <f t="shared" si="2"/>
        <v>28.949202167915974</v>
      </c>
      <c r="T24" s="62"/>
    </row>
    <row r="25" spans="4:20" x14ac:dyDescent="0.25">
      <c r="D25" s="13">
        <f t="shared" si="3"/>
        <v>2039</v>
      </c>
      <c r="E25" s="62">
        <f>IF(AND(D25&gt;='Inputs &amp; Outputs'!B$13,D25&lt;'Inputs &amp; Outputs'!B$13+'Inputs &amp; Outputs'!B$15),1,0)</f>
        <v>1</v>
      </c>
      <c r="F25" s="86">
        <f>('Inputs &amp; Outputs'!$B$26/'Inputs &amp; Outputs'!$B$25)^(1/(2045-2025))-1</f>
        <v>4.7237488027600527E-3</v>
      </c>
      <c r="G25" s="52">
        <f>((('Inputs &amp; Outputs'!$B$16-'Inputs &amp; Outputs'!$B$17)*$B$4*'Inputs &amp; Outputs'!$B$22)+(('Inputs &amp; Outputs'!$B$16-'Inputs &amp; Outputs'!$B$17)*$B$4*'Inputs &amp; Outputs'!$B$21))</f>
        <v>886.64590526388031</v>
      </c>
      <c r="H25" s="52">
        <f t="shared" si="8"/>
        <v>1536.8311139634959</v>
      </c>
      <c r="I25" s="52">
        <f t="shared" si="4"/>
        <v>1536.8311139634959</v>
      </c>
      <c r="J25" s="52">
        <f t="shared" si="5"/>
        <v>0.44045760246048093</v>
      </c>
      <c r="K25" s="63">
        <f>ABS(J25*'Assumed Values'!$C$12)</f>
        <v>3306.955679273291</v>
      </c>
      <c r="L25" s="81">
        <f t="shared" si="0"/>
        <v>798.67307382005947</v>
      </c>
      <c r="M25" s="64">
        <f>((('Inputs &amp; Outputs'!$B$16-'Inputs &amp; Outputs'!$B$17)*$B$5*'Inputs &amp; Outputs'!$B$22)+(('Inputs &amp; Outputs'!$B$16-'Inputs &amp; Outputs'!$B$17)*$B$5*'Inputs &amp; Outputs'!$B$21))</f>
        <v>131.30864386708893</v>
      </c>
      <c r="N25" s="52">
        <f t="shared" si="6"/>
        <v>205.80224453772036</v>
      </c>
      <c r="O25" s="52">
        <f t="shared" si="1"/>
        <v>205.80224453772036</v>
      </c>
      <c r="P25" s="52">
        <f t="shared" si="7"/>
        <v>5.8983165024743926E-2</v>
      </c>
      <c r="Q25" s="65">
        <f>ABS(P25*'Assumed Values'!$C$11)</f>
        <v>112.36292937213717</v>
      </c>
      <c r="R25" s="79">
        <f t="shared" si="2"/>
        <v>27.137117908030696</v>
      </c>
      <c r="T25" s="62"/>
    </row>
    <row r="26" spans="4:20" x14ac:dyDescent="0.25">
      <c r="D26" s="50">
        <f t="shared" si="3"/>
        <v>2040</v>
      </c>
      <c r="E26" s="62">
        <f>IF(AND(D26&gt;='Inputs &amp; Outputs'!B$13,D26&lt;'Inputs &amp; Outputs'!B$13+'Inputs &amp; Outputs'!B$15),1,0)</f>
        <v>1</v>
      </c>
      <c r="F26" s="86">
        <f>('Inputs &amp; Outputs'!$B$26/'Inputs &amp; Outputs'!$B$25)^(1/(2045-2025))-1</f>
        <v>4.7237488027600527E-3</v>
      </c>
      <c r="G26" s="52">
        <f>((('Inputs &amp; Outputs'!$B$16-'Inputs &amp; Outputs'!$B$17)*$B$4*'Inputs &amp; Outputs'!$B$22)+(('Inputs &amp; Outputs'!$B$16-'Inputs &amp; Outputs'!$B$17)*$B$4*'Inputs &amp; Outputs'!$B$21))</f>
        <v>886.64590526388031</v>
      </c>
      <c r="H26" s="52">
        <f t="shared" si="8"/>
        <v>1544.0907180981253</v>
      </c>
      <c r="I26" s="52">
        <f t="shared" si="4"/>
        <v>1544.0907180981253</v>
      </c>
      <c r="J26" s="52">
        <f t="shared" si="5"/>
        <v>0.44253821353277017</v>
      </c>
      <c r="K26" s="63">
        <f>ABS(J26*'Assumed Values'!$C$12)</f>
        <v>3322.5769072040384</v>
      </c>
      <c r="L26" s="81">
        <f t="shared" si="0"/>
        <v>749.94935027692861</v>
      </c>
      <c r="M26" s="64">
        <f>((('Inputs &amp; Outputs'!$B$16-'Inputs &amp; Outputs'!$B$17)*$B$5*'Inputs &amp; Outputs'!$B$22)+(('Inputs &amp; Outputs'!$B$16-'Inputs &amp; Outputs'!$B$17)*$B$5*'Inputs &amp; Outputs'!$B$21))</f>
        <v>131.30864386708893</v>
      </c>
      <c r="N26" s="52">
        <f t="shared" si="6"/>
        <v>206.42251358697956</v>
      </c>
      <c r="O26" s="52">
        <f t="shared" si="1"/>
        <v>206.42251358697956</v>
      </c>
      <c r="P26" s="52">
        <f t="shared" si="7"/>
        <v>5.9160934862844454E-2</v>
      </c>
      <c r="Q26" s="65">
        <f>ABS(P26*'Assumed Values'!$C$11)</f>
        <v>112.70158091371869</v>
      </c>
      <c r="R26" s="79">
        <f t="shared" si="2"/>
        <v>25.438230548755104</v>
      </c>
      <c r="T26" s="62"/>
    </row>
    <row r="27" spans="4:20" x14ac:dyDescent="0.25">
      <c r="D27" s="13">
        <f t="shared" si="3"/>
        <v>2041</v>
      </c>
      <c r="E27" s="62">
        <f>IF(AND(D27&gt;='Inputs &amp; Outputs'!B$13,D27&lt;'Inputs &amp; Outputs'!B$13+'Inputs &amp; Outputs'!B$15),1,0)</f>
        <v>1</v>
      </c>
      <c r="F27" s="86">
        <f>('Inputs &amp; Outputs'!$B$26/'Inputs &amp; Outputs'!$B$25)^(1/(2045-2025))-1</f>
        <v>4.7237488027600527E-3</v>
      </c>
      <c r="G27" s="52">
        <f>((('Inputs &amp; Outputs'!$B$16-'Inputs &amp; Outputs'!$B$17)*$B$4*'Inputs &amp; Outputs'!$B$22)+(('Inputs &amp; Outputs'!$B$16-'Inputs &amp; Outputs'!$B$17)*$B$4*'Inputs &amp; Outputs'!$B$21))</f>
        <v>886.64590526388031</v>
      </c>
      <c r="H27" s="52">
        <f t="shared" si="8"/>
        <v>1551.3846147790941</v>
      </c>
      <c r="I27" s="52">
        <f t="shared" si="4"/>
        <v>1551.3846147790941</v>
      </c>
      <c r="J27" s="52">
        <f t="shared" si="5"/>
        <v>0.44462865288912112</v>
      </c>
      <c r="K27" s="63">
        <f>ABS(J27*'Assumed Values'!$C$12)</f>
        <v>3338.2719258915213</v>
      </c>
      <c r="L27" s="81">
        <f t="shared" si="0"/>
        <v>704.19805852563536</v>
      </c>
      <c r="M27" s="64">
        <f>((('Inputs &amp; Outputs'!$B$16-'Inputs &amp; Outputs'!$B$17)*$B$5*'Inputs &amp; Outputs'!$B$22)+(('Inputs &amp; Outputs'!$B$16-'Inputs &amp; Outputs'!$B$17)*$B$5*'Inputs &amp; Outputs'!$B$21))</f>
        <v>131.30864386708893</v>
      </c>
      <c r="N27" s="52">
        <f t="shared" si="6"/>
        <v>207.04278263623877</v>
      </c>
      <c r="O27" s="52">
        <f t="shared" si="1"/>
        <v>207.04278263623877</v>
      </c>
      <c r="P27" s="52">
        <f t="shared" si="7"/>
        <v>5.9338704700944989E-2</v>
      </c>
      <c r="Q27" s="65">
        <f>ABS(P27*'Assumed Values'!$C$11)</f>
        <v>113.0402324553002</v>
      </c>
      <c r="R27" s="79">
        <f t="shared" si="2"/>
        <v>23.845484729063873</v>
      </c>
      <c r="T27" s="62"/>
    </row>
    <row r="28" spans="4:20" x14ac:dyDescent="0.25">
      <c r="D28" s="50">
        <f t="shared" si="3"/>
        <v>2042</v>
      </c>
      <c r="E28" s="62">
        <f>IF(AND(D28&gt;='Inputs &amp; Outputs'!B$13,D28&lt;'Inputs &amp; Outputs'!B$13+'Inputs &amp; Outputs'!B$15),1,0)</f>
        <v>1</v>
      </c>
      <c r="F28" s="86">
        <f>('Inputs &amp; Outputs'!$B$26/'Inputs &amp; Outputs'!$B$25)^(1/(2045-2025))-1</f>
        <v>4.7237488027600527E-3</v>
      </c>
      <c r="G28" s="52">
        <f>((('Inputs &amp; Outputs'!$B$16-'Inputs &amp; Outputs'!$B$17)*$B$4*'Inputs &amp; Outputs'!$B$22)+(('Inputs &amp; Outputs'!$B$16-'Inputs &amp; Outputs'!$B$17)*$B$4*'Inputs &amp; Outputs'!$B$21))</f>
        <v>886.64590526388031</v>
      </c>
      <c r="H28" s="52">
        <f t="shared" si="8"/>
        <v>1558.7129659957773</v>
      </c>
      <c r="I28" s="52">
        <f t="shared" si="4"/>
        <v>1558.7129659957773</v>
      </c>
      <c r="J28" s="52">
        <f t="shared" si="5"/>
        <v>0.44672896695587894</v>
      </c>
      <c r="K28" s="63">
        <f>ABS(J28*'Assumed Values'!$C$12)</f>
        <v>3354.041083904739</v>
      </c>
      <c r="L28" s="81">
        <f t="shared" si="0"/>
        <v>661.23786286121663</v>
      </c>
      <c r="M28" s="64">
        <f>((('Inputs &amp; Outputs'!$B$16-'Inputs &amp; Outputs'!$B$17)*$B$5*'Inputs &amp; Outputs'!$B$22)+(('Inputs &amp; Outputs'!$B$16-'Inputs &amp; Outputs'!$B$17)*$B$5*'Inputs &amp; Outputs'!$B$21))</f>
        <v>131.30864386708893</v>
      </c>
      <c r="N28" s="52">
        <f t="shared" si="6"/>
        <v>207.66305168549798</v>
      </c>
      <c r="O28" s="52">
        <f t="shared" si="1"/>
        <v>207.66305168549798</v>
      </c>
      <c r="P28" s="52">
        <f t="shared" si="7"/>
        <v>5.9516474539045523E-2</v>
      </c>
      <c r="Q28" s="65">
        <f>ABS(P28*'Assumed Values'!$C$11)</f>
        <v>113.37888399688173</v>
      </c>
      <c r="R28" s="79">
        <f t="shared" si="2"/>
        <v>22.35226375355191</v>
      </c>
      <c r="T28" s="62"/>
    </row>
    <row r="29" spans="4:20" x14ac:dyDescent="0.25">
      <c r="D29" s="13">
        <f t="shared" si="3"/>
        <v>2043</v>
      </c>
      <c r="E29" s="62">
        <f>IF(AND(D29&gt;='Inputs &amp; Outputs'!B$13,D29&lt;'Inputs &amp; Outputs'!B$13+'Inputs &amp; Outputs'!B$15),1,0)</f>
        <v>1</v>
      </c>
      <c r="F29" s="86">
        <f>('Inputs &amp; Outputs'!$B$26/'Inputs &amp; Outputs'!$B$25)^(1/(2045-2025))-1</f>
        <v>4.7237488027600527E-3</v>
      </c>
      <c r="G29" s="52">
        <f>((('Inputs &amp; Outputs'!$B$16-'Inputs &amp; Outputs'!$B$17)*$B$4*'Inputs &amp; Outputs'!$B$22)+(('Inputs &amp; Outputs'!$B$16-'Inputs &amp; Outputs'!$B$17)*$B$4*'Inputs &amp; Outputs'!$B$21))</f>
        <v>886.64590526388031</v>
      </c>
      <c r="H29" s="52">
        <f t="shared" si="8"/>
        <v>1566.0759345027463</v>
      </c>
      <c r="I29" s="52">
        <f t="shared" si="4"/>
        <v>1566.0759345027463</v>
      </c>
      <c r="J29" s="52">
        <f t="shared" si="5"/>
        <v>0.44883920237869496</v>
      </c>
      <c r="K29" s="63">
        <f>ABS(J29*'Assumed Values'!$C$12)</f>
        <v>3369.8847314592417</v>
      </c>
      <c r="L29" s="81">
        <f t="shared" si="0"/>
        <v>620.89849011611852</v>
      </c>
      <c r="M29" s="64">
        <f>((('Inputs &amp; Outputs'!$B$16-'Inputs &amp; Outputs'!$B$17)*$B$5*'Inputs &amp; Outputs'!$B$22)+(('Inputs &amp; Outputs'!$B$16-'Inputs &amp; Outputs'!$B$17)*$B$5*'Inputs &amp; Outputs'!$B$21))</f>
        <v>131.30864386708893</v>
      </c>
      <c r="N29" s="52">
        <f t="shared" si="6"/>
        <v>208.28332073475718</v>
      </c>
      <c r="O29" s="52">
        <f t="shared" si="1"/>
        <v>208.28332073475718</v>
      </c>
      <c r="P29" s="52">
        <f t="shared" si="7"/>
        <v>5.9694244377146051E-2</v>
      </c>
      <c r="Q29" s="65">
        <f>ABS(P29*'Assumed Values'!$C$11)</f>
        <v>113.71753553846322</v>
      </c>
      <c r="R29" s="79">
        <f t="shared" si="2"/>
        <v>20.9523623928179</v>
      </c>
      <c r="T29" s="62"/>
    </row>
    <row r="30" spans="4:20" x14ac:dyDescent="0.25">
      <c r="D30" s="13">
        <f t="shared" si="3"/>
        <v>2044</v>
      </c>
      <c r="E30" s="62">
        <f>IF(AND(D30&gt;='Inputs &amp; Outputs'!B$13,D30&lt;'Inputs &amp; Outputs'!B$13+'Inputs &amp; Outputs'!B$15),1,0)</f>
        <v>1</v>
      </c>
      <c r="F30" s="86">
        <f>('Inputs &amp; Outputs'!$B$26/'Inputs &amp; Outputs'!$B$25)^(1/(2045-2025))-1</f>
        <v>4.7237488027600527E-3</v>
      </c>
      <c r="G30" s="52">
        <f>((('Inputs &amp; Outputs'!$B$16-'Inputs &amp; Outputs'!$B$17)*$B$4*'Inputs &amp; Outputs'!$B$22)+(('Inputs &amp; Outputs'!$B$16-'Inputs &amp; Outputs'!$B$17)*$B$4*'Inputs &amp; Outputs'!$B$21))</f>
        <v>886.64590526388031</v>
      </c>
      <c r="H30" s="52">
        <f t="shared" si="8"/>
        <v>1573.473683823385</v>
      </c>
      <c r="I30" s="52">
        <f t="shared" si="4"/>
        <v>1573.473683823385</v>
      </c>
      <c r="J30" s="52">
        <f t="shared" si="5"/>
        <v>0.45095940602356316</v>
      </c>
      <c r="K30" s="63">
        <f>ABS(J30*'Assumed Values'!$C$12)</f>
        <v>3385.8032204249121</v>
      </c>
      <c r="L30" s="81">
        <f t="shared" si="0"/>
        <v>583.02005478078513</v>
      </c>
      <c r="M30" s="64">
        <f>((('Inputs &amp; Outputs'!$B$16-'Inputs &amp; Outputs'!$B$17)*$B$5*'Inputs &amp; Outputs'!$B$22)+(('Inputs &amp; Outputs'!$B$16-'Inputs &amp; Outputs'!$B$17)*$B$5*'Inputs &amp; Outputs'!$B$21))</f>
        <v>131.30864386708893</v>
      </c>
      <c r="N30" s="52">
        <f t="shared" si="6"/>
        <v>208.90358978401639</v>
      </c>
      <c r="O30" s="52">
        <f t="shared" si="1"/>
        <v>208.90358978401639</v>
      </c>
      <c r="P30" s="52">
        <f t="shared" si="7"/>
        <v>5.9872014215246586E-2</v>
      </c>
      <c r="Q30" s="65">
        <f>ABS(P30*'Assumed Values'!$C$11)</f>
        <v>114.05618708004475</v>
      </c>
      <c r="R30" s="79">
        <f t="shared" si="2"/>
        <v>19.63996136525321</v>
      </c>
      <c r="T30" s="62"/>
    </row>
    <row r="31" spans="4:20" x14ac:dyDescent="0.25">
      <c r="D31" s="13">
        <f t="shared" si="3"/>
        <v>2045</v>
      </c>
      <c r="E31" s="62">
        <f>IF(AND(D31&gt;='Inputs &amp; Outputs'!B$13,D31&lt;'Inputs &amp; Outputs'!B$13+'Inputs &amp; Outputs'!B$15),1,0)</f>
        <v>1</v>
      </c>
      <c r="F31" s="86">
        <f>('Inputs &amp; Outputs'!$B$26/'Inputs &amp; Outputs'!$B$25)^(1/(2045-2025))-1</f>
        <v>4.7237488027600527E-3</v>
      </c>
      <c r="G31" s="52">
        <f>((('Inputs &amp; Outputs'!$B$16-'Inputs &amp; Outputs'!$B$17)*$B$4*'Inputs &amp; Outputs'!$B$22)+(('Inputs &amp; Outputs'!$B$16-'Inputs &amp; Outputs'!$B$17)*$B$4*'Inputs &amp; Outputs'!$B$21))</f>
        <v>886.64590526388031</v>
      </c>
      <c r="H31" s="52">
        <f t="shared" si="8"/>
        <v>1580.9063782535202</v>
      </c>
      <c r="I31" s="52">
        <f t="shared" si="4"/>
        <v>1580.9063782535202</v>
      </c>
      <c r="J31" s="52">
        <f t="shared" si="5"/>
        <v>0.45308962497786037</v>
      </c>
      <c r="K31" s="63">
        <f>ABS(J31*'Assumed Values'!$C$12)</f>
        <v>3401.7969043337757</v>
      </c>
      <c r="L31" s="81">
        <f t="shared" si="0"/>
        <v>547.45242529583265</v>
      </c>
      <c r="M31" s="64">
        <f>((('Inputs &amp; Outputs'!$B$16-'Inputs &amp; Outputs'!$B$17)*$B$5*'Inputs &amp; Outputs'!$B$22)+(('Inputs &amp; Outputs'!$B$16-'Inputs &amp; Outputs'!$B$17)*$B$5*'Inputs &amp; Outputs'!$B$21))</f>
        <v>131.30864386708893</v>
      </c>
      <c r="N31" s="52">
        <f t="shared" si="6"/>
        <v>209.5238588332756</v>
      </c>
      <c r="O31" s="52">
        <f t="shared" si="1"/>
        <v>209.5238588332756</v>
      </c>
      <c r="P31" s="52">
        <f t="shared" si="7"/>
        <v>6.004978405334712E-2</v>
      </c>
      <c r="Q31" s="65">
        <f>ABS(P31*'Assumed Values'!$C$11)</f>
        <v>114.39483862162626</v>
      </c>
      <c r="R31" s="79">
        <f t="shared" si="2"/>
        <v>18.409603396649455</v>
      </c>
      <c r="T31" s="62"/>
    </row>
    <row r="32" spans="4:20" x14ac:dyDescent="0.25">
      <c r="D32" s="13">
        <f t="shared" si="3"/>
        <v>2046</v>
      </c>
      <c r="E32" s="62">
        <f>IF(AND(D32&gt;='Inputs &amp; Outputs'!B$13,D32&lt;'Inputs &amp; Outputs'!B$13+'Inputs &amp; Outputs'!B$15),1,0)</f>
        <v>1</v>
      </c>
      <c r="F32" s="86">
        <f>('Inputs &amp; Outputs'!$B$26/'Inputs &amp; Outputs'!$B$25)^(1/(2045-2025))-1</f>
        <v>4.7237488027600527E-3</v>
      </c>
      <c r="G32" s="52">
        <f>((('Inputs &amp; Outputs'!$B$16-'Inputs &amp; Outputs'!$B$17)*$B$4*'Inputs &amp; Outputs'!$B$22)+(('Inputs &amp; Outputs'!$B$16-'Inputs &amp; Outputs'!$B$17)*$B$4*'Inputs &amp; Outputs'!$B$21))</f>
        <v>886.64590526388031</v>
      </c>
      <c r="H32" s="52">
        <f t="shared" si="8"/>
        <v>1588.3741828650709</v>
      </c>
      <c r="I32" s="52">
        <f t="shared" si="4"/>
        <v>1588.3741828650709</v>
      </c>
      <c r="J32" s="52">
        <f t="shared" si="5"/>
        <v>0.45522990655139245</v>
      </c>
      <c r="K32" s="63">
        <f>ABS(J32*'Assumed Values'!$C$12)</f>
        <v>3417.8661383878543</v>
      </c>
      <c r="L32" s="81">
        <f t="shared" si="0"/>
        <v>514.05462900410453</v>
      </c>
      <c r="M32" s="64">
        <f>((('Inputs &amp; Outputs'!$B$16-'Inputs &amp; Outputs'!$B$17)*$B$5*'Inputs &amp; Outputs'!$B$22)+(('Inputs &amp; Outputs'!$B$16-'Inputs &amp; Outputs'!$B$17)*$B$5*'Inputs &amp; Outputs'!$B$21))</f>
        <v>131.30864386708893</v>
      </c>
      <c r="N32" s="52">
        <f t="shared" si="6"/>
        <v>210.1441278825348</v>
      </c>
      <c r="O32" s="52">
        <f t="shared" si="1"/>
        <v>210.1441278825348</v>
      </c>
      <c r="P32" s="52">
        <f t="shared" si="7"/>
        <v>6.0227553891447655E-2</v>
      </c>
      <c r="Q32" s="65">
        <f>ABS(P32*'Assumed Values'!$C$11)</f>
        <v>114.73349016320778</v>
      </c>
      <c r="R32" s="79">
        <f t="shared" si="2"/>
        <v>17.256170760395349</v>
      </c>
      <c r="T32" s="62"/>
    </row>
    <row r="33" spans="4:20" x14ac:dyDescent="0.25">
      <c r="D33" s="13">
        <f t="shared" si="3"/>
        <v>2047</v>
      </c>
      <c r="E33" s="62">
        <f>IF(AND(D33&gt;='Inputs &amp; Outputs'!B$13,D33&lt;'Inputs &amp; Outputs'!B$13+'Inputs &amp; Outputs'!B$15),1,0)</f>
        <v>1</v>
      </c>
      <c r="F33" s="86">
        <f>('Inputs &amp; Outputs'!$B$26/'Inputs &amp; Outputs'!$B$25)^(1/(2045-2025))-1</f>
        <v>4.7237488027600527E-3</v>
      </c>
      <c r="G33" s="52">
        <f>((('Inputs &amp; Outputs'!$B$16-'Inputs &amp; Outputs'!$B$17)*$B$4*'Inputs &amp; Outputs'!$B$22)+(('Inputs &amp; Outputs'!$B$16-'Inputs &amp; Outputs'!$B$17)*$B$4*'Inputs &amp; Outputs'!$B$21))</f>
        <v>886.64590526388031</v>
      </c>
      <c r="H33" s="52">
        <f t="shared" si="8"/>
        <v>1595.8772635097148</v>
      </c>
      <c r="I33" s="52">
        <f t="shared" si="4"/>
        <v>1595.8772635097148</v>
      </c>
      <c r="J33" s="52">
        <f t="shared" si="5"/>
        <v>0.4573802982774452</v>
      </c>
      <c r="K33" s="63">
        <f>ABS(J33*'Assumed Values'!$C$12)</f>
        <v>3434.0112794670586</v>
      </c>
      <c r="L33" s="81">
        <f t="shared" si="0"/>
        <v>482.69429340412711</v>
      </c>
      <c r="M33" s="64">
        <f>((('Inputs &amp; Outputs'!$B$16-'Inputs &amp; Outputs'!$B$17)*$B$5*'Inputs &amp; Outputs'!$B$22)+(('Inputs &amp; Outputs'!$B$16-'Inputs &amp; Outputs'!$B$17)*$B$5*'Inputs &amp; Outputs'!$B$21))</f>
        <v>131.30864386708893</v>
      </c>
      <c r="N33" s="52">
        <f t="shared" si="6"/>
        <v>210.76439693179401</v>
      </c>
      <c r="O33" s="52">
        <f t="shared" si="1"/>
        <v>210.76439693179401</v>
      </c>
      <c r="P33" s="52">
        <f t="shared" si="7"/>
        <v>6.0405323729548183E-2</v>
      </c>
      <c r="Q33" s="65">
        <f>ABS(P33*'Assumed Values'!$C$11)</f>
        <v>115.07214170478929</v>
      </c>
      <c r="R33" s="79">
        <f t="shared" si="2"/>
        <v>16.174864207001995</v>
      </c>
      <c r="T33" s="62"/>
    </row>
    <row r="34" spans="4:20" x14ac:dyDescent="0.25">
      <c r="D34" s="13">
        <f t="shared" si="3"/>
        <v>2048</v>
      </c>
      <c r="E34" s="62">
        <f>IF(AND(D34&gt;='Inputs &amp; Outputs'!B$13,D34&lt;'Inputs &amp; Outputs'!B$13+'Inputs &amp; Outputs'!B$15),1,0)</f>
        <v>0</v>
      </c>
      <c r="F34" s="86">
        <f>('Inputs &amp; Outputs'!$B$26/'Inputs &amp; Outputs'!$B$25)^(1/(2045-2025))-1</f>
        <v>4.7237488027600527E-3</v>
      </c>
      <c r="G34" s="52">
        <f>((('Inputs &amp; Outputs'!$B$16-'Inputs &amp; Outputs'!$B$17)*$B$4*'Inputs &amp; Outputs'!$B$22)+(('Inputs &amp; Outputs'!$B$16-'Inputs &amp; Outputs'!$B$17)*$B$4*'Inputs &amp; Outputs'!$B$21))</f>
        <v>886.64590526388031</v>
      </c>
      <c r="H34" s="52">
        <f t="shared" si="8"/>
        <v>1603.4157868225709</v>
      </c>
      <c r="I34" s="52">
        <f t="shared" si="4"/>
        <v>0</v>
      </c>
      <c r="J34" s="52">
        <f t="shared" si="5"/>
        <v>0</v>
      </c>
      <c r="K34" s="63">
        <f>ABS(J34*'Assumed Values'!$C$12)</f>
        <v>0</v>
      </c>
      <c r="L34" s="81">
        <f t="shared" si="0"/>
        <v>0</v>
      </c>
      <c r="M34" s="64">
        <f>((('Inputs &amp; Outputs'!$B$16-'Inputs &amp; Outputs'!$B$17)*$B$5*'Inputs &amp; Outputs'!$B$22)+(('Inputs &amp; Outputs'!$B$16-'Inputs &amp; Outputs'!$B$17)*$B$5*'Inputs &amp; Outputs'!$B$21))</f>
        <v>131.30864386708893</v>
      </c>
      <c r="N34" s="52">
        <f t="shared" si="6"/>
        <v>211.38466598105322</v>
      </c>
      <c r="O34" s="52">
        <f t="shared" si="1"/>
        <v>0</v>
      </c>
      <c r="P34" s="52">
        <f t="shared" si="7"/>
        <v>0</v>
      </c>
      <c r="Q34" s="65">
        <f>ABS(P34*'Assumed Values'!$C$11)</f>
        <v>0</v>
      </c>
      <c r="R34" s="79">
        <f t="shared" si="2"/>
        <v>0</v>
      </c>
      <c r="T34" s="62"/>
    </row>
    <row r="35" spans="4:20" x14ac:dyDescent="0.25">
      <c r="D35" s="13">
        <f t="shared" si="3"/>
        <v>2049</v>
      </c>
      <c r="E35" s="62">
        <f>IF(AND(D35&gt;='Inputs &amp; Outputs'!B$13,D35&lt;'Inputs &amp; Outputs'!B$13+'Inputs &amp; Outputs'!B$15),1,0)</f>
        <v>0</v>
      </c>
      <c r="F35" s="86">
        <f>('Inputs &amp; Outputs'!$B$26/'Inputs &amp; Outputs'!$B$25)^(1/(2045-2025))-1</f>
        <v>4.7237488027600527E-3</v>
      </c>
      <c r="G35" s="52">
        <f>((('Inputs &amp; Outputs'!$B$16-'Inputs &amp; Outputs'!$B$17)*$B$4*'Inputs &amp; Outputs'!$B$22)+(('Inputs &amp; Outputs'!$B$16-'Inputs &amp; Outputs'!$B$17)*$B$4*'Inputs &amp; Outputs'!$B$21))</f>
        <v>886.64590526388031</v>
      </c>
      <c r="H35" s="52">
        <f t="shared" si="8"/>
        <v>1610.9899202259005</v>
      </c>
      <c r="I35" s="52">
        <f t="shared" si="4"/>
        <v>0</v>
      </c>
      <c r="J35" s="52">
        <f t="shared" si="5"/>
        <v>0</v>
      </c>
      <c r="K35" s="63">
        <f>ABS(J35*'Assumed Values'!$C$12)</f>
        <v>0</v>
      </c>
      <c r="L35" s="81">
        <f t="shared" si="0"/>
        <v>0</v>
      </c>
      <c r="M35" s="64">
        <f>((('Inputs &amp; Outputs'!$B$16-'Inputs &amp; Outputs'!$B$17)*$B$5*'Inputs &amp; Outputs'!$B$22)+(('Inputs &amp; Outputs'!$B$16-'Inputs &amp; Outputs'!$B$17)*$B$5*'Inputs &amp; Outputs'!$B$21))</f>
        <v>131.30864386708893</v>
      </c>
      <c r="N35" s="52">
        <f t="shared" si="6"/>
        <v>212.00493503031242</v>
      </c>
      <c r="O35" s="52">
        <f t="shared" si="1"/>
        <v>0</v>
      </c>
      <c r="P35" s="52">
        <f t="shared" si="7"/>
        <v>0</v>
      </c>
      <c r="Q35" s="65">
        <f>ABS(P35*'Assumed Values'!$C$11)</f>
        <v>0</v>
      </c>
      <c r="R35" s="79">
        <f t="shared" si="2"/>
        <v>0</v>
      </c>
      <c r="T35" s="62"/>
    </row>
    <row r="36" spans="4:20" x14ac:dyDescent="0.25">
      <c r="D36" s="13">
        <f t="shared" si="3"/>
        <v>2050</v>
      </c>
      <c r="E36" s="62">
        <f>IF(AND(D36&gt;='Inputs &amp; Outputs'!B$13,D36&lt;'Inputs &amp; Outputs'!B$13+'Inputs &amp; Outputs'!B$15),1,0)</f>
        <v>0</v>
      </c>
      <c r="F36" s="86">
        <f>('Inputs &amp; Outputs'!$B$26/'Inputs &amp; Outputs'!$B$25)^(1/(2045-2025))-1</f>
        <v>4.7237488027600527E-3</v>
      </c>
      <c r="G36" s="52">
        <f>((('Inputs &amp; Outputs'!$B$16-'Inputs &amp; Outputs'!$B$17)*$B$4*'Inputs &amp; Outputs'!$B$22)+(('Inputs &amp; Outputs'!$B$16-'Inputs &amp; Outputs'!$B$17)*$B$4*'Inputs &amp; Outputs'!$B$21))</f>
        <v>886.64590526388031</v>
      </c>
      <c r="H36" s="52">
        <f t="shared" si="8"/>
        <v>1618.5998319328262</v>
      </c>
      <c r="I36" s="52">
        <f t="shared" si="4"/>
        <v>0</v>
      </c>
      <c r="J36" s="52">
        <f t="shared" si="5"/>
        <v>0</v>
      </c>
      <c r="K36" s="63">
        <f>ABS(J36*'Assumed Values'!$C$12)</f>
        <v>0</v>
      </c>
      <c r="L36" s="82">
        <f t="shared" si="0"/>
        <v>0</v>
      </c>
      <c r="M36" s="64">
        <f>((('Inputs &amp; Outputs'!$B$16-'Inputs &amp; Outputs'!$B$17)*$B$5*'Inputs &amp; Outputs'!$B$22)+(('Inputs &amp; Outputs'!$B$16-'Inputs &amp; Outputs'!$B$17)*$B$5*'Inputs &amp; Outputs'!$B$21))</f>
        <v>131.30864386708893</v>
      </c>
      <c r="N36" s="52">
        <f t="shared" si="6"/>
        <v>212.62520407957163</v>
      </c>
      <c r="O36" s="52">
        <f t="shared" si="1"/>
        <v>0</v>
      </c>
      <c r="P36" s="52">
        <f t="shared" si="7"/>
        <v>0</v>
      </c>
      <c r="Q36" s="65">
        <f>ABS(P36*'Assumed Values'!$C$11)</f>
        <v>0</v>
      </c>
      <c r="R36" s="79">
        <f t="shared" si="2"/>
        <v>0</v>
      </c>
      <c r="T36" s="62"/>
    </row>
    <row r="37" spans="4:20" x14ac:dyDescent="0.25">
      <c r="D37" s="53" t="s">
        <v>61</v>
      </c>
      <c r="E37" s="72"/>
      <c r="F37" s="73"/>
      <c r="G37" s="74"/>
      <c r="H37" s="74"/>
      <c r="I37" s="66">
        <f t="shared" ref="I37:R37" si="9">SUM(I4:I36)</f>
        <v>30531.383022662638</v>
      </c>
      <c r="J37" s="52">
        <f t="shared" ref="J37" si="10">I37*0.001*0.001102*260</f>
        <v>8.7478518636532971</v>
      </c>
      <c r="K37" s="67">
        <f t="shared" si="9"/>
        <v>65697.479420800286</v>
      </c>
      <c r="L37" s="83">
        <f t="shared" si="9"/>
        <v>18734.532291966647</v>
      </c>
      <c r="M37" s="75"/>
      <c r="N37" s="74"/>
      <c r="O37" s="66">
        <f t="shared" si="9"/>
        <v>4097.4368192766306</v>
      </c>
      <c r="P37" s="66">
        <f t="shared" si="9"/>
        <v>1.1743302053518623</v>
      </c>
      <c r="Q37" s="68">
        <f t="shared" si="9"/>
        <v>2237.0990411952985</v>
      </c>
      <c r="R37" s="80">
        <f t="shared" si="9"/>
        <v>640.29626399849121</v>
      </c>
    </row>
    <row r="38" spans="4:20" x14ac:dyDescent="0.25">
      <c r="P38" s="54"/>
      <c r="Q38" s="54"/>
    </row>
    <row r="39" spans="4:20" x14ac:dyDescent="0.25">
      <c r="P39" s="54"/>
      <c r="Q39" s="54"/>
    </row>
    <row r="40" spans="4:20" x14ac:dyDescent="0.25">
      <c r="P40" s="54"/>
      <c r="Q40" s="54"/>
    </row>
  </sheetData>
  <sheetProtection algorithmName="SHA-512" hashValue="r9q0AQW2hiLSF4RfTIkOpkTzw2yTm/HMZwpqcOiId/Mj584TqeUqmXIoj4yfjJi2W3wdQo3FenEr09PcJWKPsw==" saltValue="ecfU7XM7IIrDRg6bIfb3tg=="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pageSetUpPr fitToPage="1"/>
  </sheetPr>
  <dimension ref="B2:D15"/>
  <sheetViews>
    <sheetView zoomScaleNormal="100" workbookViewId="0">
      <selection activeCell="F16" sqref="F16"/>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103</v>
      </c>
    </row>
    <row r="4" spans="2:4" x14ac:dyDescent="0.25">
      <c r="B4" s="2" t="s">
        <v>23</v>
      </c>
    </row>
    <row r="5" spans="2:4" x14ac:dyDescent="0.25">
      <c r="B5" s="30" t="s">
        <v>25</v>
      </c>
      <c r="C5" s="32">
        <v>2018</v>
      </c>
    </row>
    <row r="6" spans="2:4" x14ac:dyDescent="0.25">
      <c r="B6" s="30" t="s">
        <v>26</v>
      </c>
      <c r="C6" s="47">
        <v>7.0000000000000007E-2</v>
      </c>
    </row>
    <row r="7" spans="2:4" x14ac:dyDescent="0.25">
      <c r="B7" s="27"/>
      <c r="C7" s="28"/>
    </row>
    <row r="8" spans="2:4" x14ac:dyDescent="0.25">
      <c r="B8" s="3" t="s">
        <v>104</v>
      </c>
    </row>
    <row r="9" spans="2:4" x14ac:dyDescent="0.25">
      <c r="B9" s="3"/>
    </row>
    <row r="10" spans="2:4" x14ac:dyDescent="0.25">
      <c r="B10" s="33" t="s">
        <v>0</v>
      </c>
      <c r="C10" s="33" t="s">
        <v>105</v>
      </c>
      <c r="D10" s="29"/>
    </row>
    <row r="11" spans="2:4" x14ac:dyDescent="0.25">
      <c r="B11" s="31" t="s">
        <v>1</v>
      </c>
      <c r="C11" s="76">
        <v>1905</v>
      </c>
      <c r="D11" s="88"/>
    </row>
    <row r="12" spans="2:4" x14ac:dyDescent="0.25">
      <c r="B12" s="31" t="s">
        <v>2</v>
      </c>
      <c r="C12" s="76">
        <v>7508</v>
      </c>
      <c r="D12" s="88"/>
    </row>
    <row r="14" spans="2:4" x14ac:dyDescent="0.25">
      <c r="B14" s="29" t="s">
        <v>24</v>
      </c>
    </row>
    <row r="15" spans="2:4" ht="75" x14ac:dyDescent="0.25">
      <c r="B15" s="78" t="s">
        <v>106</v>
      </c>
      <c r="C15" s="77">
        <f>'Inputs &amp; Outputs'!B15</f>
        <v>20</v>
      </c>
      <c r="D15" s="51" t="s">
        <v>27</v>
      </c>
    </row>
  </sheetData>
  <sheetProtection algorithmName="SHA-512" hashValue="O5VHKhcogWbdY7CJQtHItSNXhGDpr3ncs74xoe/ILGT8GNJRyGIk07fQ4O0R4PvFlPssKwT5ND3VbUrfL1GK+A==" saltValue="w4MPu2+B9LLxxUvAa+9hbg==" spinCount="100000" sheet="1" objects="1" scenarios="1"/>
  <hyperlinks>
    <hyperlink ref="D15"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M7"/>
  <sheetViews>
    <sheetView workbookViewId="0">
      <selection activeCell="I4" sqref="I4"/>
    </sheetView>
  </sheetViews>
  <sheetFormatPr defaultRowHeight="15" x14ac:dyDescent="0.25"/>
  <cols>
    <col min="1" max="1" width="13.42578125" bestFit="1" customWidth="1"/>
    <col min="2" max="7" width="12" style="48" bestFit="1" customWidth="1"/>
    <col min="8" max="8" width="12.140625" style="48" bestFit="1" customWidth="1"/>
    <col min="9" max="9" width="12" style="48" bestFit="1" customWidth="1"/>
    <col min="10" max="10" width="12.140625" bestFit="1" customWidth="1"/>
  </cols>
  <sheetData>
    <row r="1" spans="1:13" x14ac:dyDescent="0.25">
      <c r="A1" s="129" t="s">
        <v>113</v>
      </c>
      <c r="B1" s="129"/>
      <c r="C1" s="129"/>
      <c r="D1" s="129"/>
      <c r="E1" s="129"/>
      <c r="F1" s="129"/>
      <c r="G1" s="129"/>
      <c r="H1" s="129"/>
      <c r="I1" s="129"/>
    </row>
    <row r="2" spans="1:13" x14ac:dyDescent="0.25">
      <c r="A2" s="93" t="s">
        <v>67</v>
      </c>
      <c r="B2" s="94" t="s">
        <v>71</v>
      </c>
      <c r="C2" s="94" t="s">
        <v>72</v>
      </c>
      <c r="D2" s="94" t="s">
        <v>73</v>
      </c>
      <c r="E2" s="94" t="s">
        <v>74</v>
      </c>
      <c r="F2" s="94" t="s">
        <v>75</v>
      </c>
      <c r="G2" s="94" t="s">
        <v>76</v>
      </c>
      <c r="H2" s="94" t="s">
        <v>77</v>
      </c>
      <c r="I2" s="94" t="s">
        <v>78</v>
      </c>
    </row>
    <row r="3" spans="1:13" x14ac:dyDescent="0.25">
      <c r="A3" s="91" t="s">
        <v>85</v>
      </c>
      <c r="B3" s="95">
        <v>0.38584750145675001</v>
      </c>
      <c r="C3" s="95">
        <v>0.44160500168799999</v>
      </c>
      <c r="D3" s="95">
        <v>0.35904999822375</v>
      </c>
      <c r="E3" s="95">
        <v>0.40945500135425</v>
      </c>
      <c r="F3" s="95">
        <v>0.38154751062400005</v>
      </c>
      <c r="G3" s="95">
        <v>0.61352748423824999</v>
      </c>
      <c r="H3" s="95">
        <v>0.37501998245724999</v>
      </c>
      <c r="I3" s="95">
        <v>0.69296248257149995</v>
      </c>
      <c r="K3" s="2" t="s">
        <v>79</v>
      </c>
    </row>
    <row r="4" spans="1:13" x14ac:dyDescent="0.25">
      <c r="K4" t="s">
        <v>84</v>
      </c>
      <c r="M4" t="s">
        <v>112</v>
      </c>
    </row>
    <row r="5" spans="1:13" x14ac:dyDescent="0.25">
      <c r="A5" s="129" t="s">
        <v>113</v>
      </c>
      <c r="B5" s="129"/>
      <c r="C5" s="129"/>
      <c r="D5" s="129"/>
      <c r="E5" s="129"/>
      <c r="F5" s="129"/>
      <c r="G5" s="129"/>
      <c r="H5" s="129"/>
      <c r="I5" s="129"/>
      <c r="K5" t="s">
        <v>85</v>
      </c>
    </row>
    <row r="6" spans="1:13" x14ac:dyDescent="0.25">
      <c r="A6" s="93" t="s">
        <v>67</v>
      </c>
      <c r="B6" s="94" t="s">
        <v>71</v>
      </c>
      <c r="C6" s="94" t="s">
        <v>72</v>
      </c>
      <c r="D6" s="94" t="s">
        <v>73</v>
      </c>
      <c r="E6" s="94" t="s">
        <v>74</v>
      </c>
      <c r="F6" s="94" t="s">
        <v>75</v>
      </c>
      <c r="G6" s="94" t="s">
        <v>76</v>
      </c>
      <c r="H6" s="94" t="s">
        <v>77</v>
      </c>
      <c r="I6" s="94" t="s">
        <v>78</v>
      </c>
      <c r="K6" t="s">
        <v>85</v>
      </c>
    </row>
    <row r="7" spans="1:13" x14ac:dyDescent="0.25">
      <c r="A7" s="91" t="s">
        <v>84</v>
      </c>
      <c r="B7" s="95">
        <v>0.38584750145675001</v>
      </c>
      <c r="C7" s="95">
        <v>0.44160500168799999</v>
      </c>
      <c r="D7" s="95">
        <v>0.35904999822375</v>
      </c>
      <c r="E7" s="95">
        <v>0.40945500135425</v>
      </c>
      <c r="F7" s="95">
        <v>0.38155000656850002</v>
      </c>
      <c r="G7" s="95">
        <v>0.61352748423824999</v>
      </c>
      <c r="H7" s="95">
        <v>0.37501998245724999</v>
      </c>
      <c r="I7" s="95">
        <v>0.69296248257149995</v>
      </c>
    </row>
  </sheetData>
  <sheetProtection algorithmName="SHA-512" hashValue="or+SR7bGjZv83w4HryK7jJWyF6rjOUMUBB0wz1b1tn+JBdIq9LHF7R60n8L3bkCbWCA6gDHLl6hgyBUF7hv+bA==" saltValue="6x5vbK7ExFilUh1XQWjghQ==" spinCount="100000" sheet="1" objects="1" scenarios="1"/>
  <mergeCells count="2">
    <mergeCell ref="A1:I1"/>
    <mergeCell ref="A5:I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M20"/>
  <sheetViews>
    <sheetView workbookViewId="0">
      <selection activeCell="J19" sqref="J19"/>
    </sheetView>
  </sheetViews>
  <sheetFormatPr defaultRowHeight="15" x14ac:dyDescent="0.25"/>
  <cols>
    <col min="1" max="1" width="13.42578125" bestFit="1" customWidth="1"/>
    <col min="2" max="8" width="12.140625" style="48" bestFit="1" customWidth="1"/>
    <col min="9" max="9" width="10.5703125" style="48" bestFit="1" customWidth="1"/>
  </cols>
  <sheetData>
    <row r="1" spans="1:13" x14ac:dyDescent="0.25">
      <c r="A1" s="129" t="s">
        <v>113</v>
      </c>
      <c r="B1" s="129"/>
      <c r="C1" s="129"/>
      <c r="D1" s="129"/>
      <c r="E1" s="129"/>
      <c r="F1" s="129"/>
      <c r="G1" s="129"/>
      <c r="H1" s="129"/>
      <c r="I1" s="129"/>
    </row>
    <row r="2" spans="1:13" s="2" customFormat="1" x14ac:dyDescent="0.25">
      <c r="A2" s="93" t="s">
        <v>67</v>
      </c>
      <c r="B2" s="94" t="s">
        <v>71</v>
      </c>
      <c r="C2" s="94" t="s">
        <v>72</v>
      </c>
      <c r="D2" s="94" t="s">
        <v>73</v>
      </c>
      <c r="E2" s="94" t="s">
        <v>74</v>
      </c>
      <c r="F2" s="94" t="s">
        <v>75</v>
      </c>
      <c r="G2" s="94" t="s">
        <v>76</v>
      </c>
      <c r="H2" s="94" t="s">
        <v>77</v>
      </c>
      <c r="I2" s="94" t="s">
        <v>78</v>
      </c>
    </row>
    <row r="3" spans="1:13" x14ac:dyDescent="0.25">
      <c r="A3" s="91" t="s">
        <v>85</v>
      </c>
      <c r="B3" s="95">
        <v>5.8609999716300001E-2</v>
      </c>
      <c r="C3" s="95">
        <v>7.0484898984399996E-2</v>
      </c>
      <c r="D3" s="95">
        <v>5.5012099444900001E-2</v>
      </c>
      <c r="E3" s="95">
        <v>6.3270196318599994E-2</v>
      </c>
      <c r="F3" s="95">
        <v>5.65058998764E-2</v>
      </c>
      <c r="G3" s="95">
        <v>9.6514701843299994E-2</v>
      </c>
      <c r="H3" s="95">
        <v>5.7858299464E-2</v>
      </c>
      <c r="I3" s="95">
        <v>0.110799998045</v>
      </c>
      <c r="K3" s="2" t="s">
        <v>79</v>
      </c>
    </row>
    <row r="4" spans="1:13" x14ac:dyDescent="0.25">
      <c r="A4" s="54"/>
      <c r="B4" s="122"/>
      <c r="C4" s="122"/>
      <c r="D4" s="122"/>
      <c r="E4" s="122"/>
      <c r="F4" s="122"/>
      <c r="G4" s="122"/>
      <c r="H4" s="122"/>
      <c r="I4" s="122"/>
      <c r="K4" t="s">
        <v>84</v>
      </c>
      <c r="M4" t="s">
        <v>112</v>
      </c>
    </row>
    <row r="5" spans="1:13" x14ac:dyDescent="0.25">
      <c r="A5" s="129" t="s">
        <v>113</v>
      </c>
      <c r="B5" s="129"/>
      <c r="C5" s="129"/>
      <c r="D5" s="129"/>
      <c r="E5" s="129"/>
      <c r="F5" s="129"/>
      <c r="G5" s="129"/>
      <c r="H5" s="129"/>
      <c r="I5" s="129"/>
      <c r="K5" t="s">
        <v>85</v>
      </c>
    </row>
    <row r="6" spans="1:13" x14ac:dyDescent="0.25">
      <c r="A6" s="93" t="s">
        <v>67</v>
      </c>
      <c r="B6" s="94" t="s">
        <v>71</v>
      </c>
      <c r="C6" s="94" t="s">
        <v>72</v>
      </c>
      <c r="D6" s="94" t="s">
        <v>73</v>
      </c>
      <c r="E6" s="94" t="s">
        <v>74</v>
      </c>
      <c r="F6" s="94" t="s">
        <v>75</v>
      </c>
      <c r="G6" s="94" t="s">
        <v>76</v>
      </c>
      <c r="H6" s="94" t="s">
        <v>77</v>
      </c>
      <c r="I6" s="94" t="s">
        <v>78</v>
      </c>
      <c r="K6" t="s">
        <v>85</v>
      </c>
    </row>
    <row r="7" spans="1:13" x14ac:dyDescent="0.25">
      <c r="A7" s="91" t="s">
        <v>84</v>
      </c>
      <c r="B7" s="95">
        <v>5.8609899133399999E-2</v>
      </c>
      <c r="C7" s="95">
        <v>1.8333099782500001E-2</v>
      </c>
      <c r="D7" s="95">
        <v>1.2588200159399999E-2</v>
      </c>
      <c r="E7" s="95">
        <v>6.3270196318599994E-2</v>
      </c>
      <c r="F7" s="95">
        <v>5.6506000459199998E-2</v>
      </c>
      <c r="G7" s="95">
        <v>9.65145975351E-2</v>
      </c>
      <c r="H7" s="95">
        <v>5.7858299464E-2</v>
      </c>
      <c r="I7" s="95">
        <v>3.5873699933300002E-2</v>
      </c>
    </row>
    <row r="20" spans="1:9" s="2" customFormat="1" x14ac:dyDescent="0.25">
      <c r="A20"/>
      <c r="B20" s="48"/>
      <c r="C20" s="48"/>
      <c r="D20" s="48"/>
      <c r="E20" s="48"/>
      <c r="F20" s="48"/>
      <c r="G20" s="48"/>
      <c r="H20" s="48"/>
      <c r="I20" s="48"/>
    </row>
  </sheetData>
  <sheetProtection algorithmName="SHA-512" hashValue="6USU/zvfLJVt4n30Q+te4oGL9w55vHaK9ym/bTTRHdmsxRkaklVOUudKFY48pLlCCZQw8D9pi/8KQMZjPffxZg==" saltValue="Gy3ULHXZoIZN6YotviLaIw==" spinCount="100000" sheet="1" objects="1" scenarios="1"/>
  <mergeCells count="2">
    <mergeCell ref="A1:I1"/>
    <mergeCell ref="A5:I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4.9989318521683403E-2"/>
  </sheetPr>
  <dimension ref="C2:G8"/>
  <sheetViews>
    <sheetView workbookViewId="0">
      <selection activeCell="R19" sqref="R19"/>
    </sheetView>
  </sheetViews>
  <sheetFormatPr defaultRowHeight="15" x14ac:dyDescent="0.25"/>
  <cols>
    <col min="4" max="4" width="23.85546875" customWidth="1"/>
    <col min="5" max="5" width="20.42578125" bestFit="1" customWidth="1"/>
  </cols>
  <sheetData>
    <row r="2" spans="3:7" x14ac:dyDescent="0.25">
      <c r="C2" t="s">
        <v>118</v>
      </c>
      <c r="D2" t="s">
        <v>119</v>
      </c>
    </row>
    <row r="3" spans="3:7" x14ac:dyDescent="0.25">
      <c r="D3" t="s">
        <v>120</v>
      </c>
    </row>
    <row r="5" spans="3:7" x14ac:dyDescent="0.25">
      <c r="D5" s="92" t="s">
        <v>107</v>
      </c>
      <c r="E5" s="92" t="s">
        <v>108</v>
      </c>
    </row>
    <row r="6" spans="3:7" x14ac:dyDescent="0.25">
      <c r="D6" s="91" t="s">
        <v>109</v>
      </c>
      <c r="E6" s="91">
        <v>3</v>
      </c>
    </row>
    <row r="7" spans="3:7" x14ac:dyDescent="0.25">
      <c r="D7" s="91" t="s">
        <v>110</v>
      </c>
      <c r="E7" s="91">
        <v>4</v>
      </c>
      <c r="G7" t="s">
        <v>122</v>
      </c>
    </row>
    <row r="8" spans="3:7" x14ac:dyDescent="0.25">
      <c r="D8" s="91" t="s">
        <v>111</v>
      </c>
      <c r="E8" s="91">
        <v>20</v>
      </c>
    </row>
  </sheetData>
  <sheetProtection algorithmName="SHA-512" hashValue="8eL+meK4RH89wanuZfrVmxCmDaWjsENxe1Sq13RuEqOqSIOvIw/rScChgDZ1MyXz9mjAqN3LP9HqSrQSHJZQRA==" saltValue="MEa3OtcALjNBy+ELf7rm3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 </vt:lpstr>
      <vt:lpstr>'Assumed Values'!Print_Area</vt:lpstr>
      <vt:lpstr>'Emissions Reduction Worksheet'!Print_Area</vt:lpstr>
      <vt:lpstr>Instructions!Print_Area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Bridget A. Kramer</cp:lastModifiedBy>
  <cp:lastPrinted>2018-10-15T12:11:45Z</cp:lastPrinted>
  <dcterms:created xsi:type="dcterms:W3CDTF">2012-07-25T15:48:32Z</dcterms:created>
  <dcterms:modified xsi:type="dcterms:W3CDTF">2018-10-23T18:59:13Z</dcterms:modified>
</cp:coreProperties>
</file>