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pplications\2018\TIP\BCA\"/>
    </mc:Choice>
  </mc:AlternateContent>
  <xr:revisionPtr revIDLastSave="0" documentId="13_ncr:1_{A4B0CB52-9F50-4A79-A5DB-74FC660F7F75}" xr6:coauthVersionLast="36" xr6:coauthVersionMax="36" xr10:uidLastSave="{00000000-0000-0000-0000-000000000000}"/>
  <bookViews>
    <workbookView xWindow="0" yWindow="0" windowWidth="21600" windowHeight="9525" xr2:uid="{C01D5201-22F9-4677-8ECC-5FB25B5163D5}"/>
  </bookViews>
  <sheets>
    <sheet name="Inputs&amp;Outputs" sheetId="2" r:id="rId1"/>
    <sheet name="Calculations" sheetId="3" r:id="rId2"/>
  </sheets>
  <externalReferences>
    <externalReference r:id="rId3"/>
  </externalReferences>
  <definedNames>
    <definedName name="FacilityType">'Inputs&amp;Outputs'!$B$8</definedName>
    <definedName name="Year_Open_to_Traffic?">'Inputs&amp;Outputs'!$B$18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1" i="3" l="1"/>
  <c r="H25" i="3"/>
  <c r="H26" i="3"/>
  <c r="H27" i="3"/>
  <c r="I26" i="3"/>
  <c r="O26" i="3"/>
  <c r="I27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I25" i="3"/>
  <c r="O25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O50" i="3"/>
  <c r="M26" i="3"/>
  <c r="N26" i="3"/>
  <c r="M27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25" i="3"/>
  <c r="N25" i="3"/>
  <c r="N17" i="3"/>
  <c r="N18" i="3"/>
  <c r="N19" i="3"/>
  <c r="N20" i="3"/>
  <c r="N21" i="3"/>
  <c r="N22" i="3"/>
  <c r="N23" i="3"/>
  <c r="N24" i="3"/>
  <c r="N50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17" i="3"/>
  <c r="M18" i="3"/>
  <c r="M19" i="3"/>
  <c r="M20" i="3"/>
  <c r="M21" i="3"/>
  <c r="M22" i="3"/>
  <c r="M23" i="3"/>
  <c r="M24" i="3"/>
  <c r="M50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25" i="3"/>
  <c r="H18" i="3"/>
  <c r="I18" i="3"/>
  <c r="H19" i="3"/>
  <c r="H20" i="3"/>
  <c r="H21" i="3"/>
  <c r="H22" i="3"/>
  <c r="H23" i="3"/>
  <c r="H24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17" i="3"/>
  <c r="H17" i="3"/>
  <c r="I17" i="3"/>
  <c r="I20" i="3"/>
  <c r="I19" i="3"/>
  <c r="I21" i="3"/>
  <c r="F17" i="3"/>
  <c r="F18" i="3"/>
  <c r="F19" i="3"/>
  <c r="F20" i="3"/>
  <c r="F21" i="3"/>
  <c r="B37" i="2"/>
  <c r="B27" i="2"/>
  <c r="B35" i="2"/>
  <c r="B9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D17" i="3"/>
  <c r="K17" i="3"/>
  <c r="L17" i="3"/>
  <c r="K18" i="3"/>
  <c r="L18" i="3"/>
  <c r="K19" i="3"/>
  <c r="L19" i="3"/>
  <c r="K20" i="3"/>
  <c r="L20" i="3"/>
  <c r="K21" i="3"/>
  <c r="L21" i="3"/>
  <c r="B18" i="3"/>
  <c r="B19" i="3"/>
  <c r="D18" i="3"/>
  <c r="B20" i="3"/>
  <c r="D19" i="3"/>
  <c r="F17" i="2"/>
  <c r="G27" i="2"/>
  <c r="F16" i="2"/>
  <c r="B21" i="3"/>
  <c r="D20" i="3"/>
  <c r="F18" i="2"/>
  <c r="B22" i="3"/>
  <c r="D21" i="3"/>
  <c r="F19" i="2"/>
  <c r="F20" i="2"/>
  <c r="F21" i="2"/>
  <c r="F27" i="2"/>
  <c r="B23" i="3"/>
  <c r="D22" i="3"/>
  <c r="F22" i="3"/>
  <c r="B24" i="3"/>
  <c r="D23" i="3"/>
  <c r="F23" i="3"/>
  <c r="B25" i="3"/>
  <c r="D24" i="3"/>
  <c r="F24" i="3"/>
  <c r="I22" i="3"/>
  <c r="K22" i="3"/>
  <c r="H50" i="3"/>
  <c r="I23" i="3"/>
  <c r="K23" i="3"/>
  <c r="L23" i="3"/>
  <c r="B26" i="3"/>
  <c r="D25" i="3"/>
  <c r="F25" i="3"/>
  <c r="L25" i="3"/>
  <c r="I24" i="3"/>
  <c r="K24" i="3"/>
  <c r="L24" i="3"/>
  <c r="B27" i="3"/>
  <c r="D26" i="3"/>
  <c r="F26" i="3"/>
  <c r="L26" i="3"/>
  <c r="L22" i="3"/>
  <c r="B28" i="3"/>
  <c r="D27" i="3"/>
  <c r="F27" i="3"/>
  <c r="L27" i="3"/>
  <c r="B29" i="3"/>
  <c r="D28" i="3"/>
  <c r="F28" i="3"/>
  <c r="I28" i="3"/>
  <c r="L28" i="3"/>
  <c r="B30" i="3"/>
  <c r="D29" i="3"/>
  <c r="F29" i="3"/>
  <c r="I29" i="3"/>
  <c r="L29" i="3"/>
  <c r="B31" i="3"/>
  <c r="D30" i="3"/>
  <c r="F30" i="3"/>
  <c r="I30" i="3"/>
  <c r="L30" i="3"/>
  <c r="B32" i="3"/>
  <c r="D31" i="3"/>
  <c r="F31" i="3"/>
  <c r="I31" i="3"/>
  <c r="L31" i="3"/>
  <c r="B33" i="3"/>
  <c r="D32" i="3"/>
  <c r="F32" i="3"/>
  <c r="I32" i="3"/>
  <c r="L32" i="3"/>
  <c r="B34" i="3"/>
  <c r="D33" i="3"/>
  <c r="F33" i="3"/>
  <c r="I33" i="3"/>
  <c r="L33" i="3"/>
  <c r="B35" i="3"/>
  <c r="D34" i="3"/>
  <c r="F34" i="3"/>
  <c r="I34" i="3"/>
  <c r="L34" i="3"/>
  <c r="B36" i="3"/>
  <c r="D35" i="3"/>
  <c r="F35" i="3"/>
  <c r="I35" i="3"/>
  <c r="L35" i="3"/>
  <c r="B37" i="3"/>
  <c r="D36" i="3"/>
  <c r="F36" i="3"/>
  <c r="I36" i="3"/>
  <c r="L36" i="3"/>
  <c r="B38" i="3"/>
  <c r="D37" i="3"/>
  <c r="F37" i="3"/>
  <c r="I37" i="3"/>
  <c r="L37" i="3"/>
  <c r="B39" i="3"/>
  <c r="D38" i="3"/>
  <c r="F38" i="3"/>
  <c r="I38" i="3"/>
  <c r="L38" i="3"/>
  <c r="B40" i="3"/>
  <c r="D39" i="3"/>
  <c r="F39" i="3"/>
  <c r="I39" i="3"/>
  <c r="L39" i="3"/>
  <c r="B41" i="3"/>
  <c r="D40" i="3"/>
  <c r="F40" i="3"/>
  <c r="I40" i="3"/>
  <c r="L40" i="3"/>
  <c r="B42" i="3"/>
  <c r="D41" i="3"/>
  <c r="F41" i="3"/>
  <c r="I41" i="3"/>
  <c r="L41" i="3"/>
  <c r="B43" i="3"/>
  <c r="D42" i="3"/>
  <c r="F42" i="3"/>
  <c r="I42" i="3"/>
  <c r="L42" i="3"/>
  <c r="B44" i="3"/>
  <c r="D43" i="3"/>
  <c r="F43" i="3"/>
  <c r="I43" i="3"/>
  <c r="L43" i="3"/>
  <c r="B45" i="3"/>
  <c r="D44" i="3"/>
  <c r="F44" i="3"/>
  <c r="I44" i="3"/>
  <c r="L44" i="3"/>
  <c r="B46" i="3"/>
  <c r="D45" i="3"/>
  <c r="F45" i="3"/>
  <c r="I45" i="3"/>
  <c r="L45" i="3"/>
  <c r="B47" i="3"/>
  <c r="D46" i="3"/>
  <c r="F46" i="3"/>
  <c r="I46" i="3"/>
  <c r="L46" i="3"/>
  <c r="B48" i="3"/>
  <c r="D47" i="3"/>
  <c r="F47" i="3"/>
  <c r="I47" i="3"/>
  <c r="L47" i="3"/>
  <c r="B49" i="3"/>
  <c r="D48" i="3"/>
  <c r="F48" i="3"/>
  <c r="I48" i="3"/>
  <c r="L48" i="3"/>
  <c r="D49" i="3"/>
  <c r="B50" i="3"/>
  <c r="F49" i="3"/>
  <c r="E50" i="3"/>
  <c r="F50" i="3"/>
  <c r="I49" i="3"/>
  <c r="G50" i="3"/>
  <c r="I50" i="3"/>
  <c r="L49" i="3"/>
  <c r="L50" i="3"/>
  <c r="B43" i="2"/>
  <c r="K50" i="3"/>
</calcChain>
</file>

<file path=xl/sharedStrings.xml><?xml version="1.0" encoding="utf-8"?>
<sst xmlns="http://schemas.openxmlformats.org/spreadsheetml/2006/main" count="74" uniqueCount="72">
  <si>
    <t>Project Identification</t>
  </si>
  <si>
    <t>Project Title:</t>
  </si>
  <si>
    <t>Port Road Total Crossing Railroad Bypass</t>
  </si>
  <si>
    <t>County</t>
  </si>
  <si>
    <t>Harris</t>
  </si>
  <si>
    <t>Facility Type</t>
  </si>
  <si>
    <t>Non Freeway</t>
  </si>
  <si>
    <t>Street Name:</t>
  </si>
  <si>
    <t>Port Drive</t>
  </si>
  <si>
    <t>Limits (From)</t>
  </si>
  <si>
    <t>FM 146</t>
  </si>
  <si>
    <t>Limits (To)</t>
  </si>
  <si>
    <t>Cruise St.</t>
  </si>
  <si>
    <t>Length (in Miles)</t>
  </si>
  <si>
    <t>Application ID Number:</t>
  </si>
  <si>
    <t>Sponsor ID Number (CSJ, etc.):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</si>
  <si>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</si>
  <si>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&gt;=2021)</t>
    </r>
  </si>
  <si>
    <t>Type of Improvement</t>
  </si>
  <si>
    <t xml:space="preserve">Grade Separation </t>
  </si>
  <si>
    <t>Estimated Delay Reductions (in %)</t>
  </si>
  <si>
    <t>Service Life (years):</t>
  </si>
  <si>
    <t>Daily Travel Demand</t>
  </si>
  <si>
    <t>2018 ADT</t>
  </si>
  <si>
    <t>Estimated Free Flow Speed before improvement</t>
  </si>
  <si>
    <t>2025 Peak Period Roadway Capacity</t>
  </si>
  <si>
    <t>2045 Peak Period Roadway Capacity</t>
  </si>
  <si>
    <t>Interim Calculations for Delay Reductions</t>
  </si>
  <si>
    <t>Estimated Free flow Travel Time (in Hrs)</t>
  </si>
  <si>
    <t>Estimated Average Travel Time without project (in Hrs)</t>
  </si>
  <si>
    <t>Estimate Average Delay without project (in Hrs)</t>
  </si>
  <si>
    <t>Estimate Delay Reduced</t>
  </si>
  <si>
    <t>Estimated Delay with project</t>
  </si>
  <si>
    <t>Average Peak Travel Time with project</t>
  </si>
  <si>
    <t>VHT Improvements</t>
  </si>
  <si>
    <t>With Project</t>
  </si>
  <si>
    <t>Without Project</t>
  </si>
  <si>
    <t>VHT (Daily) In year open to traffic</t>
  </si>
  <si>
    <t xml:space="preserve">2018 Truck and Train Potential Conflict </t>
  </si>
  <si>
    <t xml:space="preserve"> Truck and Train Potential Conflict Year Open to Traffic</t>
  </si>
  <si>
    <t>Benefit Results</t>
  </si>
  <si>
    <t>Discounted Delay Benefits @ 7% (2018 $, '000s)</t>
  </si>
  <si>
    <t>Assumptions</t>
  </si>
  <si>
    <t>Base Year</t>
  </si>
  <si>
    <t>Vehicle Occupancy</t>
  </si>
  <si>
    <t>Average Truck and Train Potential Conflict Speed before improvement</t>
  </si>
  <si>
    <t>2018  Roadway Capacity</t>
  </si>
  <si>
    <t xml:space="preserve"> Estimated 2025 Truck and Train Potential Conflict Year Open to Traffic</t>
  </si>
  <si>
    <t xml:space="preserve"> Estimated 2045 Truck and Train Potential Conflict Year Open to Traffic</t>
  </si>
  <si>
    <t>Value of Travel time (VoTT), 2018 $</t>
  </si>
  <si>
    <t>Real wage growth rate</t>
  </si>
  <si>
    <t>Annual Days of Travel</t>
  </si>
  <si>
    <t>Years to include in BCA Analysis</t>
  </si>
  <si>
    <t>Year</t>
  </si>
  <si>
    <t>Value of Time</t>
  </si>
  <si>
    <t>NPV @7% ($000')</t>
  </si>
  <si>
    <t>Value of Delay savings ($ 000')</t>
  </si>
  <si>
    <t xml:space="preserve">VHT delay NoBuild </t>
  </si>
  <si>
    <t>VHT delay Build</t>
  </si>
  <si>
    <t>Gate Hours 2023</t>
  </si>
  <si>
    <t>7:00 to 19:00</t>
  </si>
  <si>
    <t>Daily Truck Arrivals</t>
  </si>
  <si>
    <t>Percentage Increase of Truck Arrivals</t>
  </si>
  <si>
    <t>Total Daily Truck Trips</t>
  </si>
  <si>
    <t>Peak Hour Truck Trips</t>
  </si>
  <si>
    <t>Potential Truck and Train Conflict Volume Per Hour</t>
  </si>
  <si>
    <t>Percentage of Truck Traffic during a 4 Hour Peak Period</t>
  </si>
  <si>
    <t xml:space="preserve"> VHT Savings</t>
  </si>
  <si>
    <t>Value of Delay savings Conflict once a week ($ 000')</t>
  </si>
  <si>
    <t>Once a week NPV @7% ($000')</t>
  </si>
  <si>
    <t>Value of Delay savings Conflict once a month ($ 000')</t>
  </si>
  <si>
    <t>Once a Month NPV @7% ($000')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</si>
</sst>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7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right" vertical="center" wrapText="1"/>
      <protection locked="0"/>
    </xf>
    <xf numFmtId="0" fontId="0" fillId="4" borderId="1" xfId="0" applyFill="1" applyBorder="1" applyAlignment="1" applyProtection="1">
      <alignment vertical="center"/>
      <protection locked="0"/>
    </xf>
    <xf numFmtId="9" fontId="0" fillId="4" borderId="1" xfId="0" applyNumberFormat="1" applyFill="1" applyBorder="1" applyAlignment="1" applyProtection="1">
      <alignment vertical="center"/>
    </xf>
    <xf numFmtId="0" fontId="0" fillId="3" borderId="1" xfId="0" applyNumberForma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3" fontId="0" fillId="4" borderId="1" xfId="0" applyNumberFormat="1" applyFill="1" applyBorder="1" applyProtection="1"/>
    <xf numFmtId="0" fontId="0" fillId="0" borderId="0" xfId="0" applyFill="1" applyBorder="1" applyProtection="1">
      <protection locked="0"/>
    </xf>
    <xf numFmtId="3" fontId="0" fillId="0" borderId="0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3" fontId="0" fillId="5" borderId="1" xfId="0" applyNumberForma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3" fontId="0" fillId="5" borderId="1" xfId="0" applyNumberFormat="1" applyFill="1" applyBorder="1" applyAlignment="1" applyProtection="1">
      <alignment horizontal="right" vertic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3" fontId="0" fillId="4" borderId="1" xfId="0" applyNumberFormat="1" applyFill="1" applyBorder="1" applyAlignment="1" applyProtection="1">
      <alignment vertical="center"/>
    </xf>
    <xf numFmtId="164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protection locked="0"/>
    </xf>
    <xf numFmtId="0" fontId="1" fillId="6" borderId="1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3" fontId="0" fillId="4" borderId="1" xfId="0" applyNumberFormat="1" applyFill="1" applyBorder="1" applyAlignment="1" applyProtection="1">
      <alignment horizontal="center" vertical="center"/>
    </xf>
    <xf numFmtId="3" fontId="0" fillId="4" borderId="4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1" fillId="7" borderId="1" xfId="0" applyFont="1" applyFill="1" applyBorder="1" applyProtection="1">
      <protection locked="0"/>
    </xf>
    <xf numFmtId="165" fontId="0" fillId="8" borderId="1" xfId="0" applyNumberFormat="1" applyFill="1" applyBorder="1" applyProtection="1"/>
    <xf numFmtId="0" fontId="0" fillId="8" borderId="1" xfId="0" applyFill="1" applyBorder="1" applyAlignment="1" applyProtection="1">
      <alignment wrapText="1"/>
      <protection locked="0"/>
    </xf>
    <xf numFmtId="0" fontId="0" fillId="0" borderId="1" xfId="0" applyBorder="1"/>
    <xf numFmtId="44" fontId="0" fillId="0" borderId="1" xfId="2" applyFont="1" applyBorder="1"/>
    <xf numFmtId="10" fontId="0" fillId="0" borderId="1" xfId="0" applyNumberFormat="1" applyBorder="1"/>
    <xf numFmtId="0" fontId="0" fillId="9" borderId="1" xfId="0" applyFill="1" applyBorder="1"/>
    <xf numFmtId="0" fontId="6" fillId="9" borderId="1" xfId="0" applyFont="1" applyFill="1" applyBorder="1"/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9" fontId="0" fillId="0" borderId="1" xfId="3" applyFont="1" applyBorder="1"/>
    <xf numFmtId="166" fontId="0" fillId="0" borderId="1" xfId="1" applyNumberFormat="1" applyFont="1" applyBorder="1"/>
    <xf numFmtId="166" fontId="0" fillId="0" borderId="1" xfId="0" applyNumberFormat="1" applyBorder="1"/>
    <xf numFmtId="166" fontId="0" fillId="0" borderId="7" xfId="0" applyNumberFormat="1" applyBorder="1"/>
    <xf numFmtId="166" fontId="0" fillId="0" borderId="6" xfId="0" applyNumberFormat="1" applyBorder="1"/>
    <xf numFmtId="9" fontId="0" fillId="0" borderId="1" xfId="2" applyNumberFormat="1" applyFont="1" applyBorder="1"/>
    <xf numFmtId="0" fontId="0" fillId="0" borderId="1" xfId="0" applyFill="1" applyBorder="1" applyAlignment="1">
      <alignment wrapText="1"/>
    </xf>
    <xf numFmtId="166" fontId="0" fillId="4" borderId="1" xfId="1" applyNumberFormat="1" applyFont="1" applyFill="1" applyBorder="1" applyAlignment="1" applyProtection="1">
      <alignment horizontal="right" vertical="center" wrapText="1"/>
    </xf>
    <xf numFmtId="166" fontId="0" fillId="3" borderId="1" xfId="1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167" fontId="0" fillId="10" borderId="7" xfId="0" applyNumberFormat="1" applyFill="1" applyBorder="1"/>
    <xf numFmtId="167" fontId="0" fillId="11" borderId="7" xfId="0" applyNumberFormat="1" applyFill="1" applyBorder="1"/>
    <xf numFmtId="167" fontId="0" fillId="12" borderId="7" xfId="0" applyNumberFormat="1" applyFill="1" applyBorder="1"/>
    <xf numFmtId="0" fontId="0" fillId="12" borderId="9" xfId="0" applyFill="1" applyBorder="1" applyAlignment="1">
      <alignment wrapText="1"/>
    </xf>
    <xf numFmtId="0" fontId="0" fillId="12" borderId="10" xfId="0" applyFill="1" applyBorder="1" applyAlignment="1">
      <alignment wrapText="1"/>
    </xf>
    <xf numFmtId="44" fontId="0" fillId="12" borderId="11" xfId="2" applyFont="1" applyFill="1" applyBorder="1"/>
    <xf numFmtId="44" fontId="0" fillId="12" borderId="12" xfId="0" applyNumberFormat="1" applyFill="1" applyBorder="1"/>
    <xf numFmtId="167" fontId="0" fillId="12" borderId="11" xfId="2" applyNumberFormat="1" applyFont="1" applyFill="1" applyBorder="1"/>
    <xf numFmtId="167" fontId="0" fillId="12" borderId="12" xfId="0" applyNumberFormat="1" applyFill="1" applyBorder="1"/>
    <xf numFmtId="167" fontId="0" fillId="12" borderId="8" xfId="0" applyNumberFormat="1" applyFill="1" applyBorder="1"/>
    <xf numFmtId="0" fontId="0" fillId="11" borderId="9" xfId="0" applyFill="1" applyBorder="1" applyAlignment="1">
      <alignment wrapText="1"/>
    </xf>
    <xf numFmtId="0" fontId="0" fillId="11" borderId="10" xfId="0" applyFill="1" applyBorder="1" applyAlignment="1">
      <alignment wrapText="1"/>
    </xf>
    <xf numFmtId="44" fontId="0" fillId="11" borderId="11" xfId="2" applyFont="1" applyFill="1" applyBorder="1"/>
    <xf numFmtId="44" fontId="0" fillId="11" borderId="12" xfId="2" applyFont="1" applyFill="1" applyBorder="1"/>
    <xf numFmtId="167" fontId="0" fillId="11" borderId="11" xfId="2" applyNumberFormat="1" applyFont="1" applyFill="1" applyBorder="1"/>
    <xf numFmtId="167" fontId="0" fillId="11" borderId="12" xfId="2" applyNumberFormat="1" applyFont="1" applyFill="1" applyBorder="1"/>
    <xf numFmtId="167" fontId="0" fillId="11" borderId="8" xfId="0" applyNumberFormat="1" applyFill="1" applyBorder="1"/>
    <xf numFmtId="0" fontId="0" fillId="10" borderId="9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44" fontId="0" fillId="10" borderId="11" xfId="2" applyFont="1" applyFill="1" applyBorder="1"/>
    <xf numFmtId="44" fontId="0" fillId="10" borderId="12" xfId="2" applyFont="1" applyFill="1" applyBorder="1"/>
    <xf numFmtId="167" fontId="0" fillId="10" borderId="11" xfId="2" applyNumberFormat="1" applyFont="1" applyFill="1" applyBorder="1"/>
    <xf numFmtId="167" fontId="0" fillId="10" borderId="12" xfId="2" applyNumberFormat="1" applyFont="1" applyFill="1" applyBorder="1"/>
    <xf numFmtId="167" fontId="0" fillId="10" borderId="8" xfId="0" applyNumberFormat="1" applyFill="1" applyBorder="1"/>
    <xf numFmtId="0" fontId="0" fillId="0" borderId="9" xfId="0" applyBorder="1"/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/>
    <xf numFmtId="44" fontId="0" fillId="0" borderId="12" xfId="0" applyNumberFormat="1" applyBorder="1"/>
    <xf numFmtId="0" fontId="0" fillId="0" borderId="14" xfId="0" applyBorder="1"/>
    <xf numFmtId="0" fontId="0" fillId="3" borderId="1" xfId="0" applyFill="1" applyBorder="1" applyAlignment="1" applyProtection="1">
      <alignment horizontal="right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2018/TIP/delay-benefits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ay Reduction Factors"/>
      <sheetName val="Calculation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FBE7-B22E-4345-AC49-1F709D55C442}">
  <dimension ref="A3:G44"/>
  <sheetViews>
    <sheetView tabSelected="1" workbookViewId="0">
      <selection activeCell="F21" sqref="F21"/>
    </sheetView>
  </sheetViews>
  <sheetFormatPr defaultRowHeight="15" x14ac:dyDescent="0.25"/>
  <cols>
    <col min="1" max="1" width="35.85546875" bestFit="1" customWidth="1"/>
    <col min="2" max="2" width="34.42578125" customWidth="1"/>
    <col min="5" max="5" width="30" customWidth="1"/>
    <col min="6" max="6" width="12.28515625" bestFit="1" customWidth="1"/>
    <col min="7" max="7" width="15.42578125" bestFit="1" customWidth="1"/>
  </cols>
  <sheetData>
    <row r="3" spans="1:7" x14ac:dyDescent="0.25">
      <c r="A3" s="1" t="s">
        <v>0</v>
      </c>
      <c r="B3" s="2"/>
    </row>
    <row r="4" spans="1:7" ht="45" x14ac:dyDescent="0.25">
      <c r="A4" s="3" t="s">
        <v>1</v>
      </c>
      <c r="B4" s="4" t="s">
        <v>2</v>
      </c>
    </row>
    <row r="5" spans="1:7" x14ac:dyDescent="0.25">
      <c r="A5" s="3" t="s">
        <v>3</v>
      </c>
      <c r="B5" s="5" t="s">
        <v>4</v>
      </c>
    </row>
    <row r="6" spans="1:7" x14ac:dyDescent="0.25">
      <c r="A6" s="3" t="s">
        <v>5</v>
      </c>
      <c r="B6" s="5" t="s">
        <v>6</v>
      </c>
    </row>
    <row r="7" spans="1:7" x14ac:dyDescent="0.25">
      <c r="A7" s="3" t="s">
        <v>7</v>
      </c>
      <c r="B7" s="5" t="s">
        <v>8</v>
      </c>
    </row>
    <row r="8" spans="1:7" x14ac:dyDescent="0.25">
      <c r="A8" s="3" t="s">
        <v>9</v>
      </c>
      <c r="B8" s="5" t="s">
        <v>10</v>
      </c>
    </row>
    <row r="9" spans="1:7" x14ac:dyDescent="0.25">
      <c r="A9" s="3" t="s">
        <v>11</v>
      </c>
      <c r="B9" s="5" t="s">
        <v>12</v>
      </c>
    </row>
    <row r="10" spans="1:7" x14ac:dyDescent="0.25">
      <c r="A10" s="3" t="s">
        <v>13</v>
      </c>
      <c r="B10" s="5">
        <v>1.23</v>
      </c>
    </row>
    <row r="11" spans="1:7" x14ac:dyDescent="0.25">
      <c r="A11" s="3" t="s">
        <v>14</v>
      </c>
      <c r="B11" s="5"/>
    </row>
    <row r="12" spans="1:7" x14ac:dyDescent="0.25">
      <c r="A12" s="3" t="s">
        <v>15</v>
      </c>
      <c r="B12" s="5"/>
    </row>
    <row r="15" spans="1:7" x14ac:dyDescent="0.25">
      <c r="A15" s="1" t="s">
        <v>16</v>
      </c>
      <c r="B15" s="2"/>
      <c r="E15" s="85" t="s">
        <v>27</v>
      </c>
      <c r="F15" s="86"/>
      <c r="G15" s="2"/>
    </row>
    <row r="16" spans="1:7" ht="30" x14ac:dyDescent="0.25">
      <c r="A16" s="3" t="s">
        <v>17</v>
      </c>
      <c r="B16" s="84">
        <v>2028</v>
      </c>
      <c r="E16" s="31" t="s">
        <v>28</v>
      </c>
      <c r="F16" s="22">
        <f>$B$10/$B$30</f>
        <v>0.03</v>
      </c>
      <c r="G16" s="2"/>
    </row>
    <row r="17" spans="1:7" ht="30" x14ac:dyDescent="0.25">
      <c r="A17" s="3" t="s">
        <v>18</v>
      </c>
      <c r="B17" s="6" t="s">
        <v>19</v>
      </c>
      <c r="E17" s="23" t="s">
        <v>29</v>
      </c>
      <c r="F17" s="24">
        <f>$B$10/$B$31</f>
        <v>1.23</v>
      </c>
      <c r="G17" s="2"/>
    </row>
    <row r="18" spans="1:7" ht="30" x14ac:dyDescent="0.25">
      <c r="A18" s="7" t="s">
        <v>20</v>
      </c>
      <c r="B18" s="8">
        <v>0.2</v>
      </c>
      <c r="E18" s="23" t="s">
        <v>30</v>
      </c>
      <c r="F18" s="22">
        <f>$F$17-$F$16</f>
        <v>1.2</v>
      </c>
      <c r="G18" s="2"/>
    </row>
    <row r="19" spans="1:7" x14ac:dyDescent="0.25">
      <c r="A19" s="3" t="s">
        <v>21</v>
      </c>
      <c r="B19" s="9">
        <v>50</v>
      </c>
      <c r="E19" s="11" t="s">
        <v>31</v>
      </c>
      <c r="F19" s="22">
        <f>$F$18*$B$18</f>
        <v>0.24</v>
      </c>
      <c r="G19" s="25"/>
    </row>
    <row r="20" spans="1:7" x14ac:dyDescent="0.25">
      <c r="E20" s="11" t="s">
        <v>32</v>
      </c>
      <c r="F20" s="22">
        <f>$F$18-$F$19</f>
        <v>0.96</v>
      </c>
      <c r="G20" s="25"/>
    </row>
    <row r="21" spans="1:7" x14ac:dyDescent="0.25">
      <c r="E21" s="11" t="s">
        <v>33</v>
      </c>
      <c r="F21" s="22">
        <f>F16+F20</f>
        <v>0.99</v>
      </c>
      <c r="G21" s="2"/>
    </row>
    <row r="22" spans="1:7" x14ac:dyDescent="0.25">
      <c r="A22" s="1" t="s">
        <v>22</v>
      </c>
      <c r="B22" s="10"/>
      <c r="E22" s="2"/>
      <c r="F22" s="2"/>
      <c r="G22" s="13"/>
    </row>
    <row r="23" spans="1:7" x14ac:dyDescent="0.25">
      <c r="A23" s="3" t="s">
        <v>23</v>
      </c>
      <c r="B23" s="52">
        <v>24000</v>
      </c>
      <c r="E23" s="2"/>
      <c r="F23" s="2"/>
      <c r="G23" s="13"/>
    </row>
    <row r="24" spans="1:7" x14ac:dyDescent="0.25">
      <c r="E24" s="2"/>
      <c r="F24" s="2"/>
      <c r="G24" s="2"/>
    </row>
    <row r="25" spans="1:7" x14ac:dyDescent="0.25">
      <c r="A25" s="2"/>
      <c r="B25" s="2"/>
      <c r="E25" s="2"/>
      <c r="F25" s="2"/>
      <c r="G25" s="2"/>
    </row>
    <row r="26" spans="1:7" x14ac:dyDescent="0.25">
      <c r="A26" s="11" t="s">
        <v>38</v>
      </c>
      <c r="B26" s="51">
        <v>212</v>
      </c>
      <c r="E26" s="26" t="s">
        <v>34</v>
      </c>
      <c r="F26" s="27" t="s">
        <v>35</v>
      </c>
      <c r="G26" s="28" t="s">
        <v>36</v>
      </c>
    </row>
    <row r="27" spans="1:7" ht="30" x14ac:dyDescent="0.25">
      <c r="A27" s="31" t="s">
        <v>39</v>
      </c>
      <c r="B27" s="12">
        <f>Calculations!F24</f>
        <v>343.54085657456972</v>
      </c>
      <c r="E27" s="23" t="s">
        <v>37</v>
      </c>
      <c r="F27" s="29">
        <f>B27*F21</f>
        <v>340.105448008824</v>
      </c>
      <c r="G27" s="30">
        <f>B27*F17</f>
        <v>422.55525358672077</v>
      </c>
    </row>
    <row r="28" spans="1:7" x14ac:dyDescent="0.25">
      <c r="A28" s="13"/>
      <c r="B28" s="14"/>
    </row>
    <row r="29" spans="1:7" x14ac:dyDescent="0.25">
      <c r="A29" s="2"/>
      <c r="B29" s="2"/>
    </row>
    <row r="30" spans="1:7" ht="30" x14ac:dyDescent="0.25">
      <c r="A30" s="17" t="s">
        <v>24</v>
      </c>
      <c r="B30" s="16">
        <v>41</v>
      </c>
    </row>
    <row r="31" spans="1:7" ht="30" x14ac:dyDescent="0.25">
      <c r="A31" s="17" t="s">
        <v>45</v>
      </c>
      <c r="B31" s="18">
        <v>1</v>
      </c>
    </row>
    <row r="32" spans="1:7" x14ac:dyDescent="0.25">
      <c r="A32" s="19"/>
      <c r="B32" s="20"/>
    </row>
    <row r="33" spans="1:2" x14ac:dyDescent="0.25">
      <c r="A33" s="11" t="s">
        <v>38</v>
      </c>
      <c r="B33" s="21">
        <v>212</v>
      </c>
    </row>
    <row r="34" spans="1:2" x14ac:dyDescent="0.25">
      <c r="A34" s="15" t="s">
        <v>46</v>
      </c>
      <c r="B34" s="16">
        <v>22862</v>
      </c>
    </row>
    <row r="35" spans="1:2" ht="30" x14ac:dyDescent="0.25">
      <c r="A35" s="17" t="s">
        <v>47</v>
      </c>
      <c r="B35" s="16">
        <f>B27</f>
        <v>343.54085657456972</v>
      </c>
    </row>
    <row r="36" spans="1:2" x14ac:dyDescent="0.25">
      <c r="A36" s="15" t="s">
        <v>25</v>
      </c>
      <c r="B36" s="16">
        <v>33376</v>
      </c>
    </row>
    <row r="37" spans="1:2" ht="30" x14ac:dyDescent="0.25">
      <c r="A37" s="17" t="s">
        <v>48</v>
      </c>
      <c r="B37" s="16">
        <f>Calculations!F44</f>
        <v>378.28174718120664</v>
      </c>
    </row>
    <row r="38" spans="1:2" x14ac:dyDescent="0.25">
      <c r="A38" s="15" t="s">
        <v>26</v>
      </c>
      <c r="B38" s="16">
        <v>33376</v>
      </c>
    </row>
    <row r="40" spans="1:2" x14ac:dyDescent="0.25">
      <c r="A40" s="2"/>
      <c r="B40" s="2"/>
    </row>
    <row r="41" spans="1:2" x14ac:dyDescent="0.25">
      <c r="A41" s="32" t="s">
        <v>40</v>
      </c>
      <c r="B41" s="2"/>
    </row>
    <row r="42" spans="1:2" x14ac:dyDescent="0.25">
      <c r="A42" s="32" t="s">
        <v>40</v>
      </c>
      <c r="B42" s="2"/>
    </row>
    <row r="43" spans="1:2" ht="30" x14ac:dyDescent="0.25">
      <c r="A43" s="34" t="s">
        <v>41</v>
      </c>
      <c r="B43" s="33">
        <f>Calculations!L50</f>
        <v>38414.925580364397</v>
      </c>
    </row>
    <row r="44" spans="1:2" x14ac:dyDescent="0.25">
      <c r="A44" s="2"/>
      <c r="B44" s="2"/>
    </row>
  </sheetData>
  <mergeCells count="1">
    <mergeCell ref="E15:F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83744C-D99E-470D-AEB8-EA88D99AAAB3}">
          <x14:formula1>
            <xm:f>'Y:\Applications\2018\TIP\[delay-benefits-template.xlsx]Delay Reduction Factors'!#REF!</xm:f>
          </x14:formula1>
          <xm:sqref>B5</xm:sqref>
        </x14:dataValidation>
        <x14:dataValidation type="list" allowBlank="1" showInputMessage="1" showErrorMessage="1" xr:uid="{0ABCC883-A0C6-4FD7-82EF-C95FCBD3431D}">
          <x14:formula1>
            <xm:f>'Y:\Applications\2018\TIP\[delay-benefits-template.xlsx]Delay Reduction Factors'!#REF!</xm:f>
          </x14:formula1>
          <xm:sqref>B6 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B86D-5956-4952-8BAB-3F186660192D}">
  <dimension ref="A3:P51"/>
  <sheetViews>
    <sheetView topLeftCell="A10" zoomScale="70" zoomScaleNormal="70" workbookViewId="0">
      <selection activeCell="I52" sqref="I52"/>
    </sheetView>
  </sheetViews>
  <sheetFormatPr defaultRowHeight="15" x14ac:dyDescent="0.25"/>
  <cols>
    <col min="1" max="1" width="32.28515625" bestFit="1" customWidth="1"/>
    <col min="2" max="2" width="13.85546875" customWidth="1"/>
    <col min="3" max="3" width="19.140625" bestFit="1" customWidth="1"/>
    <col min="4" max="4" width="18.7109375" customWidth="1"/>
    <col min="5" max="5" width="17.7109375" customWidth="1"/>
    <col min="6" max="6" width="14.85546875" bestFit="1" customWidth="1"/>
    <col min="7" max="7" width="13.5703125" bestFit="1" customWidth="1"/>
    <col min="9" max="9" width="13.5703125" bestFit="1" customWidth="1"/>
    <col min="11" max="11" width="20.140625" customWidth="1"/>
    <col min="12" max="12" width="16" customWidth="1"/>
    <col min="13" max="13" width="19.7109375" customWidth="1"/>
    <col min="14" max="14" width="16.85546875" customWidth="1"/>
    <col min="15" max="15" width="13.140625" bestFit="1" customWidth="1"/>
    <col min="16" max="16" width="13.5703125" bestFit="1" customWidth="1"/>
  </cols>
  <sheetData>
    <row r="3" spans="1:16" x14ac:dyDescent="0.25">
      <c r="A3" s="39" t="s">
        <v>42</v>
      </c>
      <c r="B3" s="38"/>
    </row>
    <row r="4" spans="1:16" x14ac:dyDescent="0.25">
      <c r="A4" s="40" t="s">
        <v>43</v>
      </c>
      <c r="B4" s="35">
        <v>2018</v>
      </c>
    </row>
    <row r="5" spans="1:16" x14ac:dyDescent="0.25">
      <c r="A5" s="40" t="s">
        <v>44</v>
      </c>
      <c r="B5" s="35">
        <v>1</v>
      </c>
    </row>
    <row r="6" spans="1:16" x14ac:dyDescent="0.25">
      <c r="A6" s="40" t="s">
        <v>49</v>
      </c>
      <c r="B6" s="36">
        <v>29.26</v>
      </c>
    </row>
    <row r="7" spans="1:16" ht="30" x14ac:dyDescent="0.25">
      <c r="A7" s="40" t="s">
        <v>66</v>
      </c>
      <c r="B7" s="49">
        <v>0.45</v>
      </c>
    </row>
    <row r="8" spans="1:16" x14ac:dyDescent="0.25">
      <c r="A8" s="40" t="s">
        <v>50</v>
      </c>
      <c r="B8" s="37">
        <v>2.3E-2</v>
      </c>
    </row>
    <row r="9" spans="1:16" x14ac:dyDescent="0.25">
      <c r="A9" s="40" t="s">
        <v>51</v>
      </c>
      <c r="B9" s="35">
        <f>260+52</f>
        <v>312</v>
      </c>
    </row>
    <row r="10" spans="1:16" x14ac:dyDescent="0.25">
      <c r="A10" s="40" t="s">
        <v>52</v>
      </c>
      <c r="B10" s="35">
        <v>50</v>
      </c>
    </row>
    <row r="11" spans="1:16" x14ac:dyDescent="0.25">
      <c r="A11" s="50" t="s">
        <v>59</v>
      </c>
      <c r="B11" s="35" t="s">
        <v>60</v>
      </c>
    </row>
    <row r="12" spans="1:16" x14ac:dyDescent="0.25">
      <c r="I12" s="53"/>
    </row>
    <row r="15" spans="1:16" ht="15.75" thickBot="1" x14ac:dyDescent="0.3"/>
    <row r="16" spans="1:16" ht="75" x14ac:dyDescent="0.25">
      <c r="A16" s="78" t="s">
        <v>53</v>
      </c>
      <c r="B16" s="79" t="s">
        <v>61</v>
      </c>
      <c r="C16" s="79" t="s">
        <v>62</v>
      </c>
      <c r="D16" s="79" t="s">
        <v>63</v>
      </c>
      <c r="E16" s="79" t="s">
        <v>64</v>
      </c>
      <c r="F16" s="79" t="s">
        <v>65</v>
      </c>
      <c r="G16" s="79" t="s">
        <v>57</v>
      </c>
      <c r="H16" s="79" t="s">
        <v>58</v>
      </c>
      <c r="I16" s="79" t="s">
        <v>67</v>
      </c>
      <c r="J16" s="80" t="s">
        <v>54</v>
      </c>
      <c r="K16" s="57" t="s">
        <v>56</v>
      </c>
      <c r="L16" s="58" t="s">
        <v>55</v>
      </c>
      <c r="M16" s="64" t="s">
        <v>68</v>
      </c>
      <c r="N16" s="65" t="s">
        <v>69</v>
      </c>
      <c r="O16" s="71" t="s">
        <v>70</v>
      </c>
      <c r="P16" s="72" t="s">
        <v>71</v>
      </c>
    </row>
    <row r="17" spans="1:16" x14ac:dyDescent="0.25">
      <c r="A17" s="81">
        <v>2018</v>
      </c>
      <c r="B17" s="45">
        <v>3767</v>
      </c>
      <c r="C17" s="44"/>
      <c r="D17" s="45">
        <f>B17*2</f>
        <v>7534</v>
      </c>
      <c r="E17" s="45">
        <f>(D17*0.45)/4</f>
        <v>847.57500000000005</v>
      </c>
      <c r="F17" s="45">
        <f t="shared" ref="F17:F21" si="0">(E17/4)</f>
        <v>211.89375000000001</v>
      </c>
      <c r="G17" s="45">
        <f>F17*0.33</f>
        <v>69.924937500000013</v>
      </c>
      <c r="H17" s="45">
        <f>G17</f>
        <v>69.924937500000013</v>
      </c>
      <c r="I17" s="46">
        <f t="shared" ref="I17:I49" si="1">G17-H17</f>
        <v>0</v>
      </c>
      <c r="J17" s="82">
        <v>29.26</v>
      </c>
      <c r="K17" s="59">
        <f>(I17*J17)*260/1000</f>
        <v>0</v>
      </c>
      <c r="L17" s="60">
        <f>K17-(K17*0.07)</f>
        <v>0</v>
      </c>
      <c r="M17" s="66">
        <f>(K17*L17)*260/1000</f>
        <v>0</v>
      </c>
      <c r="N17" s="67">
        <f>(L17*M17)*260/1000</f>
        <v>0</v>
      </c>
      <c r="O17" s="73">
        <f>(M17*N17)*260/1000</f>
        <v>0</v>
      </c>
      <c r="P17" s="74">
        <f>(N17*O17)*260/1000</f>
        <v>0</v>
      </c>
    </row>
    <row r="18" spans="1:16" x14ac:dyDescent="0.25">
      <c r="A18" s="81">
        <v>2019</v>
      </c>
      <c r="B18" s="45">
        <f>(B17*C18)+B17</f>
        <v>4124.8649999999998</v>
      </c>
      <c r="C18" s="44">
        <v>9.5000000000000001E-2</v>
      </c>
      <c r="D18" s="45">
        <f t="shared" ref="D18:D49" si="2">B18*2</f>
        <v>8249.73</v>
      </c>
      <c r="E18" s="45">
        <f t="shared" ref="E18:E49" si="3">(D18*0.45)/4</f>
        <v>928.09462499999995</v>
      </c>
      <c r="F18" s="45">
        <f t="shared" si="0"/>
        <v>232.02365624999999</v>
      </c>
      <c r="G18" s="45">
        <f t="shared" ref="G18:G49" si="4">F18*0.33</f>
        <v>76.567806562499996</v>
      </c>
      <c r="H18" s="45">
        <f t="shared" ref="H18:H27" si="5">G18</f>
        <v>76.567806562499996</v>
      </c>
      <c r="I18" s="46">
        <f t="shared" si="1"/>
        <v>0</v>
      </c>
      <c r="J18" s="82">
        <f>(J17*0.023)+J17</f>
        <v>29.932980000000001</v>
      </c>
      <c r="K18" s="59">
        <f t="shared" ref="K18:N24" si="6">(I18*J18)*260/1000</f>
        <v>0</v>
      </c>
      <c r="L18" s="60">
        <f t="shared" ref="L18:L49" si="7">K18-(K18*0.07)</f>
        <v>0</v>
      </c>
      <c r="M18" s="66">
        <f t="shared" si="6"/>
        <v>0</v>
      </c>
      <c r="N18" s="67">
        <f t="shared" si="6"/>
        <v>0</v>
      </c>
      <c r="O18" s="73">
        <f t="shared" ref="O18:O24" si="8">(M18*N18)*260/1000</f>
        <v>0</v>
      </c>
      <c r="P18" s="74">
        <f t="shared" ref="P18:P24" si="9">(N18*O18)*260/1000</f>
        <v>0</v>
      </c>
    </row>
    <row r="19" spans="1:16" x14ac:dyDescent="0.25">
      <c r="A19" s="81">
        <v>2020</v>
      </c>
      <c r="B19" s="45">
        <f t="shared" ref="B19:B49" si="10">(B18*C19)+B18</f>
        <v>4496.1028499999993</v>
      </c>
      <c r="C19" s="44">
        <v>0.09</v>
      </c>
      <c r="D19" s="45">
        <f t="shared" si="2"/>
        <v>8992.2056999999986</v>
      </c>
      <c r="E19" s="45">
        <f t="shared" si="3"/>
        <v>1011.6231412499999</v>
      </c>
      <c r="F19" s="45">
        <f t="shared" si="0"/>
        <v>252.90578531249997</v>
      </c>
      <c r="G19" s="45">
        <f t="shared" si="4"/>
        <v>83.458909153124992</v>
      </c>
      <c r="H19" s="45">
        <f t="shared" si="5"/>
        <v>83.458909153124992</v>
      </c>
      <c r="I19" s="46">
        <f t="shared" si="1"/>
        <v>0</v>
      </c>
      <c r="J19" s="82">
        <f t="shared" ref="J19:J49" si="11">(J18*0.023)+J18</f>
        <v>30.62143854</v>
      </c>
      <c r="K19" s="59">
        <f t="shared" si="6"/>
        <v>0</v>
      </c>
      <c r="L19" s="60">
        <f t="shared" si="7"/>
        <v>0</v>
      </c>
      <c r="M19" s="66">
        <f t="shared" si="6"/>
        <v>0</v>
      </c>
      <c r="N19" s="67">
        <f t="shared" si="6"/>
        <v>0</v>
      </c>
      <c r="O19" s="73">
        <f t="shared" si="8"/>
        <v>0</v>
      </c>
      <c r="P19" s="74">
        <f t="shared" si="9"/>
        <v>0</v>
      </c>
    </row>
    <row r="20" spans="1:16" x14ac:dyDescent="0.25">
      <c r="A20" s="81">
        <v>2021</v>
      </c>
      <c r="B20" s="45">
        <f t="shared" si="10"/>
        <v>4887.2637979499996</v>
      </c>
      <c r="C20" s="44">
        <v>8.6999999999999994E-2</v>
      </c>
      <c r="D20" s="45">
        <f t="shared" si="2"/>
        <v>9774.5275958999991</v>
      </c>
      <c r="E20" s="45">
        <f t="shared" si="3"/>
        <v>1099.6343545387499</v>
      </c>
      <c r="F20" s="45">
        <f t="shared" si="0"/>
        <v>274.90858863468748</v>
      </c>
      <c r="G20" s="45">
        <f t="shared" si="4"/>
        <v>90.719834249446876</v>
      </c>
      <c r="H20" s="45">
        <f t="shared" si="5"/>
        <v>90.719834249446876</v>
      </c>
      <c r="I20" s="46">
        <f t="shared" si="1"/>
        <v>0</v>
      </c>
      <c r="J20" s="82">
        <f t="shared" si="11"/>
        <v>31.325731626420001</v>
      </c>
      <c r="K20" s="59">
        <f t="shared" si="6"/>
        <v>0</v>
      </c>
      <c r="L20" s="60">
        <f t="shared" si="7"/>
        <v>0</v>
      </c>
      <c r="M20" s="66">
        <f t="shared" si="6"/>
        <v>0</v>
      </c>
      <c r="N20" s="67">
        <f t="shared" si="6"/>
        <v>0</v>
      </c>
      <c r="O20" s="73">
        <f t="shared" si="8"/>
        <v>0</v>
      </c>
      <c r="P20" s="74">
        <f t="shared" si="9"/>
        <v>0</v>
      </c>
    </row>
    <row r="21" spans="1:16" x14ac:dyDescent="0.25">
      <c r="A21" s="81">
        <v>2022</v>
      </c>
      <c r="B21" s="45">
        <f t="shared" si="10"/>
        <v>5288.0194293818995</v>
      </c>
      <c r="C21" s="44">
        <v>8.2000000000000003E-2</v>
      </c>
      <c r="D21" s="45">
        <f t="shared" si="2"/>
        <v>10576.038858763799</v>
      </c>
      <c r="E21" s="45">
        <f t="shared" si="3"/>
        <v>1189.8043716109273</v>
      </c>
      <c r="F21" s="45">
        <f t="shared" si="0"/>
        <v>297.45109290273183</v>
      </c>
      <c r="G21" s="45">
        <f t="shared" si="4"/>
        <v>98.158860657901513</v>
      </c>
      <c r="H21" s="45">
        <f t="shared" si="5"/>
        <v>98.158860657901513</v>
      </c>
      <c r="I21" s="46">
        <f t="shared" si="1"/>
        <v>0</v>
      </c>
      <c r="J21" s="82">
        <f t="shared" si="11"/>
        <v>32.046223453827665</v>
      </c>
      <c r="K21" s="59">
        <f t="shared" si="6"/>
        <v>0</v>
      </c>
      <c r="L21" s="60">
        <f t="shared" si="7"/>
        <v>0</v>
      </c>
      <c r="M21" s="66">
        <f t="shared" si="6"/>
        <v>0</v>
      </c>
      <c r="N21" s="67">
        <f t="shared" si="6"/>
        <v>0</v>
      </c>
      <c r="O21" s="73">
        <f t="shared" si="8"/>
        <v>0</v>
      </c>
      <c r="P21" s="74">
        <f t="shared" si="9"/>
        <v>0</v>
      </c>
    </row>
    <row r="22" spans="1:16" x14ac:dyDescent="0.25">
      <c r="A22" s="81">
        <v>2023</v>
      </c>
      <c r="B22" s="45">
        <f t="shared" si="10"/>
        <v>5706.830568188946</v>
      </c>
      <c r="C22" s="44">
        <v>7.9200000000000007E-2</v>
      </c>
      <c r="D22" s="45">
        <f t="shared" si="2"/>
        <v>11413.661136377892</v>
      </c>
      <c r="E22" s="45">
        <f t="shared" si="3"/>
        <v>1284.0368778425129</v>
      </c>
      <c r="F22" s="45">
        <f>(E22/4)</f>
        <v>321.00921946062823</v>
      </c>
      <c r="G22" s="45">
        <f t="shared" si="4"/>
        <v>105.93304242200732</v>
      </c>
      <c r="H22" s="45">
        <f t="shared" si="5"/>
        <v>105.93304242200732</v>
      </c>
      <c r="I22" s="46">
        <f t="shared" si="1"/>
        <v>0</v>
      </c>
      <c r="J22" s="82">
        <f t="shared" si="11"/>
        <v>32.7832865932657</v>
      </c>
      <c r="K22" s="59">
        <f t="shared" si="6"/>
        <v>0</v>
      </c>
      <c r="L22" s="60">
        <f t="shared" si="7"/>
        <v>0</v>
      </c>
      <c r="M22" s="66">
        <f t="shared" si="6"/>
        <v>0</v>
      </c>
      <c r="N22" s="67">
        <f t="shared" si="6"/>
        <v>0</v>
      </c>
      <c r="O22" s="73">
        <f t="shared" si="8"/>
        <v>0</v>
      </c>
      <c r="P22" s="74">
        <f t="shared" si="9"/>
        <v>0</v>
      </c>
    </row>
    <row r="23" spans="1:16" x14ac:dyDescent="0.25">
      <c r="A23" s="81">
        <v>2024</v>
      </c>
      <c r="B23" s="45">
        <f t="shared" si="10"/>
        <v>5906.5696380755589</v>
      </c>
      <c r="C23" s="44">
        <v>3.5000000000000003E-2</v>
      </c>
      <c r="D23" s="45">
        <f t="shared" si="2"/>
        <v>11813.139276151118</v>
      </c>
      <c r="E23" s="45">
        <f t="shared" si="3"/>
        <v>1328.9781685670007</v>
      </c>
      <c r="F23" s="45">
        <f t="shared" ref="F23:F49" si="12">(E23/4)</f>
        <v>332.24454214175017</v>
      </c>
      <c r="G23" s="45">
        <f t="shared" si="4"/>
        <v>109.64069890677756</v>
      </c>
      <c r="H23" s="45">
        <f t="shared" si="5"/>
        <v>109.64069890677756</v>
      </c>
      <c r="I23" s="46">
        <f t="shared" si="1"/>
        <v>0</v>
      </c>
      <c r="J23" s="82">
        <f t="shared" si="11"/>
        <v>33.537302184910814</v>
      </c>
      <c r="K23" s="59">
        <f t="shared" si="6"/>
        <v>0</v>
      </c>
      <c r="L23" s="60">
        <f t="shared" si="7"/>
        <v>0</v>
      </c>
      <c r="M23" s="66">
        <f t="shared" si="6"/>
        <v>0</v>
      </c>
      <c r="N23" s="67">
        <f t="shared" si="6"/>
        <v>0</v>
      </c>
      <c r="O23" s="73">
        <f t="shared" si="8"/>
        <v>0</v>
      </c>
      <c r="P23" s="74">
        <f t="shared" si="9"/>
        <v>0</v>
      </c>
    </row>
    <row r="24" spans="1:16" x14ac:dyDescent="0.25">
      <c r="A24" s="81">
        <v>2025</v>
      </c>
      <c r="B24" s="45">
        <f t="shared" si="10"/>
        <v>6107.3930057701282</v>
      </c>
      <c r="C24" s="44">
        <v>3.4000000000000002E-2</v>
      </c>
      <c r="D24" s="45">
        <f t="shared" si="2"/>
        <v>12214.786011540256</v>
      </c>
      <c r="E24" s="45">
        <f t="shared" si="3"/>
        <v>1374.1634262982789</v>
      </c>
      <c r="F24" s="45">
        <f t="shared" si="12"/>
        <v>343.54085657456972</v>
      </c>
      <c r="G24" s="45">
        <f t="shared" si="4"/>
        <v>113.36848266960801</v>
      </c>
      <c r="H24" s="45">
        <f t="shared" si="5"/>
        <v>113.36848266960801</v>
      </c>
      <c r="I24" s="46">
        <f t="shared" si="1"/>
        <v>0</v>
      </c>
      <c r="J24" s="82">
        <f t="shared" si="11"/>
        <v>34.308660135163763</v>
      </c>
      <c r="K24" s="59">
        <f t="shared" si="6"/>
        <v>0</v>
      </c>
      <c r="L24" s="60">
        <f t="shared" si="7"/>
        <v>0</v>
      </c>
      <c r="M24" s="66">
        <f t="shared" si="6"/>
        <v>0</v>
      </c>
      <c r="N24" s="67">
        <f t="shared" si="6"/>
        <v>0</v>
      </c>
      <c r="O24" s="73">
        <f t="shared" si="8"/>
        <v>0</v>
      </c>
      <c r="P24" s="74">
        <f t="shared" si="9"/>
        <v>0</v>
      </c>
    </row>
    <row r="25" spans="1:16" x14ac:dyDescent="0.25">
      <c r="A25" s="81">
        <v>2026</v>
      </c>
      <c r="B25" s="45">
        <f t="shared" si="10"/>
        <v>6315.0443679663122</v>
      </c>
      <c r="C25" s="44">
        <v>3.4000000000000002E-2</v>
      </c>
      <c r="D25" s="45">
        <f t="shared" si="2"/>
        <v>12630.088735932624</v>
      </c>
      <c r="E25" s="45">
        <f t="shared" si="3"/>
        <v>1420.8849827924203</v>
      </c>
      <c r="F25" s="45">
        <f t="shared" si="12"/>
        <v>355.22124569810507</v>
      </c>
      <c r="G25" s="45">
        <f t="shared" si="4"/>
        <v>117.22301108037468</v>
      </c>
      <c r="H25" s="45">
        <f t="shared" si="5"/>
        <v>117.22301108037468</v>
      </c>
      <c r="I25" s="46">
        <f t="shared" si="1"/>
        <v>0</v>
      </c>
      <c r="J25" s="82">
        <f t="shared" si="11"/>
        <v>35.09775931827253</v>
      </c>
      <c r="K25" s="61">
        <f>(I25*J25)*312/1000</f>
        <v>0</v>
      </c>
      <c r="L25" s="62">
        <f t="shared" si="7"/>
        <v>0</v>
      </c>
      <c r="M25" s="68">
        <f>(I25*J25)*52/1000</f>
        <v>0</v>
      </c>
      <c r="N25" s="69">
        <f>M25-(M25*0.07)</f>
        <v>0</v>
      </c>
      <c r="O25" s="75">
        <f>(I25*J25)*12/1000</f>
        <v>0</v>
      </c>
      <c r="P25" s="76">
        <f>O25-(O25*0.07)</f>
        <v>0</v>
      </c>
    </row>
    <row r="26" spans="1:16" x14ac:dyDescent="0.25">
      <c r="A26" s="81">
        <v>2027</v>
      </c>
      <c r="B26" s="45">
        <f t="shared" si="10"/>
        <v>6525.9668498563869</v>
      </c>
      <c r="C26" s="44">
        <v>3.3399999999999999E-2</v>
      </c>
      <c r="D26" s="45">
        <f t="shared" si="2"/>
        <v>13051.933699712774</v>
      </c>
      <c r="E26" s="45">
        <f t="shared" si="3"/>
        <v>1468.3425412176871</v>
      </c>
      <c r="F26" s="45">
        <f t="shared" si="12"/>
        <v>367.08563530442177</v>
      </c>
      <c r="G26" s="45">
        <f t="shared" si="4"/>
        <v>121.13825965045919</v>
      </c>
      <c r="H26" s="45">
        <f t="shared" si="5"/>
        <v>121.13825965045919</v>
      </c>
      <c r="I26" s="46">
        <f t="shared" si="1"/>
        <v>0</v>
      </c>
      <c r="J26" s="82">
        <f t="shared" si="11"/>
        <v>35.905007782592797</v>
      </c>
      <c r="K26" s="61">
        <f t="shared" ref="K26:K49" si="13">(I26*J26)*312/1000</f>
        <v>0</v>
      </c>
      <c r="L26" s="62">
        <f t="shared" si="7"/>
        <v>0</v>
      </c>
      <c r="M26" s="68">
        <f t="shared" ref="M26:M49" si="14">(I26*J26)*52/1000</f>
        <v>0</v>
      </c>
      <c r="N26" s="69">
        <f t="shared" ref="N26:P49" si="15">M26-(M26*0.07)</f>
        <v>0</v>
      </c>
      <c r="O26" s="75">
        <f t="shared" ref="O26:O49" si="16">(I26*J26)*12/1000</f>
        <v>0</v>
      </c>
      <c r="P26" s="76">
        <f t="shared" si="15"/>
        <v>0</v>
      </c>
    </row>
    <row r="27" spans="1:16" x14ac:dyDescent="0.25">
      <c r="A27" s="81">
        <v>2028</v>
      </c>
      <c r="B27" s="45">
        <f t="shared" si="10"/>
        <v>6725.0088387770065</v>
      </c>
      <c r="C27" s="44">
        <v>3.0499999999999999E-2</v>
      </c>
      <c r="D27" s="45">
        <f t="shared" si="2"/>
        <v>13450.017677554013</v>
      </c>
      <c r="E27" s="45">
        <f t="shared" si="3"/>
        <v>1513.1269887248266</v>
      </c>
      <c r="F27" s="45">
        <f t="shared" si="12"/>
        <v>378.28174718120664</v>
      </c>
      <c r="G27" s="45">
        <f t="shared" si="4"/>
        <v>124.83297656979819</v>
      </c>
      <c r="H27" s="45">
        <f t="shared" si="5"/>
        <v>124.83297656979819</v>
      </c>
      <c r="I27" s="46">
        <f t="shared" si="1"/>
        <v>0</v>
      </c>
      <c r="J27" s="82">
        <f t="shared" si="11"/>
        <v>36.73082296159243</v>
      </c>
      <c r="K27" s="61">
        <f t="shared" si="13"/>
        <v>0</v>
      </c>
      <c r="L27" s="62">
        <f t="shared" si="7"/>
        <v>0</v>
      </c>
      <c r="M27" s="68">
        <f t="shared" si="14"/>
        <v>0</v>
      </c>
      <c r="N27" s="69">
        <f t="shared" si="15"/>
        <v>0</v>
      </c>
      <c r="O27" s="75">
        <f t="shared" si="16"/>
        <v>0</v>
      </c>
      <c r="P27" s="76">
        <f t="shared" si="15"/>
        <v>0</v>
      </c>
    </row>
    <row r="28" spans="1:16" x14ac:dyDescent="0.25">
      <c r="A28" s="81">
        <v>2029</v>
      </c>
      <c r="B28" s="45">
        <f t="shared" si="10"/>
        <v>6725.0088387770065</v>
      </c>
      <c r="C28" s="44">
        <v>0</v>
      </c>
      <c r="D28" s="45">
        <f t="shared" si="2"/>
        <v>13450.017677554013</v>
      </c>
      <c r="E28" s="45">
        <f t="shared" si="3"/>
        <v>1513.1269887248266</v>
      </c>
      <c r="F28" s="45">
        <f t="shared" si="12"/>
        <v>378.28174718120664</v>
      </c>
      <c r="G28" s="45">
        <f t="shared" si="4"/>
        <v>124.83297656979819</v>
      </c>
      <c r="H28" s="45">
        <v>0</v>
      </c>
      <c r="I28" s="46">
        <f t="shared" si="1"/>
        <v>124.83297656979819</v>
      </c>
      <c r="J28" s="82">
        <f t="shared" si="11"/>
        <v>37.575631889709058</v>
      </c>
      <c r="K28" s="61">
        <f t="shared" si="13"/>
        <v>1463.4915282884247</v>
      </c>
      <c r="L28" s="62">
        <f t="shared" si="7"/>
        <v>1361.0471213082349</v>
      </c>
      <c r="M28" s="68">
        <f t="shared" si="14"/>
        <v>243.91525471473747</v>
      </c>
      <c r="N28" s="69">
        <f t="shared" si="15"/>
        <v>226.84118688470585</v>
      </c>
      <c r="O28" s="75">
        <f t="shared" si="16"/>
        <v>56.288135703400954</v>
      </c>
      <c r="P28" s="76">
        <f t="shared" si="15"/>
        <v>52.347966204162887</v>
      </c>
    </row>
    <row r="29" spans="1:16" x14ac:dyDescent="0.25">
      <c r="A29" s="81">
        <v>2030</v>
      </c>
      <c r="B29" s="45">
        <f t="shared" si="10"/>
        <v>6725.0088387770065</v>
      </c>
      <c r="C29" s="44">
        <v>0</v>
      </c>
      <c r="D29" s="45">
        <f t="shared" si="2"/>
        <v>13450.017677554013</v>
      </c>
      <c r="E29" s="45">
        <f t="shared" si="3"/>
        <v>1513.1269887248266</v>
      </c>
      <c r="F29" s="45">
        <f t="shared" si="12"/>
        <v>378.28174718120664</v>
      </c>
      <c r="G29" s="45">
        <f t="shared" si="4"/>
        <v>124.83297656979819</v>
      </c>
      <c r="H29" s="45">
        <v>0</v>
      </c>
      <c r="I29" s="46">
        <f t="shared" si="1"/>
        <v>124.83297656979819</v>
      </c>
      <c r="J29" s="82">
        <f t="shared" si="11"/>
        <v>38.439871423172363</v>
      </c>
      <c r="K29" s="61">
        <f t="shared" si="13"/>
        <v>1497.1518334390585</v>
      </c>
      <c r="L29" s="62">
        <f t="shared" si="7"/>
        <v>1392.3512050983243</v>
      </c>
      <c r="M29" s="68">
        <f t="shared" si="14"/>
        <v>249.52530557317638</v>
      </c>
      <c r="N29" s="69">
        <f t="shared" si="15"/>
        <v>232.05853418305404</v>
      </c>
      <c r="O29" s="75">
        <f t="shared" si="16"/>
        <v>57.58276282457917</v>
      </c>
      <c r="P29" s="76">
        <f t="shared" si="15"/>
        <v>53.551969426858626</v>
      </c>
    </row>
    <row r="30" spans="1:16" x14ac:dyDescent="0.25">
      <c r="A30" s="81">
        <v>2031</v>
      </c>
      <c r="B30" s="45">
        <f t="shared" si="10"/>
        <v>6725.0088387770065</v>
      </c>
      <c r="C30" s="44">
        <v>0</v>
      </c>
      <c r="D30" s="45">
        <f t="shared" si="2"/>
        <v>13450.017677554013</v>
      </c>
      <c r="E30" s="45">
        <f t="shared" si="3"/>
        <v>1513.1269887248266</v>
      </c>
      <c r="F30" s="45">
        <f t="shared" si="12"/>
        <v>378.28174718120664</v>
      </c>
      <c r="G30" s="45">
        <f t="shared" si="4"/>
        <v>124.83297656979819</v>
      </c>
      <c r="H30" s="45">
        <v>0</v>
      </c>
      <c r="I30" s="46">
        <f t="shared" si="1"/>
        <v>124.83297656979819</v>
      </c>
      <c r="J30" s="82">
        <f t="shared" si="11"/>
        <v>39.32398846590533</v>
      </c>
      <c r="K30" s="61">
        <f t="shared" si="13"/>
        <v>1531.5863256081568</v>
      </c>
      <c r="L30" s="62">
        <f t="shared" si="7"/>
        <v>1424.3752828155857</v>
      </c>
      <c r="M30" s="68">
        <f t="shared" si="14"/>
        <v>255.26438760135949</v>
      </c>
      <c r="N30" s="69">
        <f t="shared" si="15"/>
        <v>237.39588046926431</v>
      </c>
      <c r="O30" s="75">
        <f t="shared" si="16"/>
        <v>58.907166369544498</v>
      </c>
      <c r="P30" s="76">
        <f t="shared" si="15"/>
        <v>54.783664723676381</v>
      </c>
    </row>
    <row r="31" spans="1:16" x14ac:dyDescent="0.25">
      <c r="A31" s="81">
        <v>2032</v>
      </c>
      <c r="B31" s="45">
        <f t="shared" si="10"/>
        <v>6725.0088387770065</v>
      </c>
      <c r="C31" s="44">
        <v>0</v>
      </c>
      <c r="D31" s="45">
        <f t="shared" si="2"/>
        <v>13450.017677554013</v>
      </c>
      <c r="E31" s="45">
        <f t="shared" si="3"/>
        <v>1513.1269887248266</v>
      </c>
      <c r="F31" s="45">
        <f t="shared" si="12"/>
        <v>378.28174718120664</v>
      </c>
      <c r="G31" s="45">
        <f t="shared" si="4"/>
        <v>124.83297656979819</v>
      </c>
      <c r="H31" s="45">
        <v>0</v>
      </c>
      <c r="I31" s="46">
        <f t="shared" si="1"/>
        <v>124.83297656979819</v>
      </c>
      <c r="J31" s="82">
        <f t="shared" si="11"/>
        <v>40.228440200621151</v>
      </c>
      <c r="K31" s="61">
        <f t="shared" si="13"/>
        <v>1566.812811097144</v>
      </c>
      <c r="L31" s="62">
        <f t="shared" si="7"/>
        <v>1457.135914320344</v>
      </c>
      <c r="M31" s="68">
        <f t="shared" si="14"/>
        <v>261.13546851619071</v>
      </c>
      <c r="N31" s="69">
        <f t="shared" si="15"/>
        <v>242.85598572005736</v>
      </c>
      <c r="O31" s="75">
        <f t="shared" si="16"/>
        <v>60.262031196044006</v>
      </c>
      <c r="P31" s="76">
        <f t="shared" si="15"/>
        <v>56.043689012320925</v>
      </c>
    </row>
    <row r="32" spans="1:16" x14ac:dyDescent="0.25">
      <c r="A32" s="81">
        <v>2033</v>
      </c>
      <c r="B32" s="45">
        <f t="shared" si="10"/>
        <v>6725.0088387770065</v>
      </c>
      <c r="C32" s="44">
        <v>0</v>
      </c>
      <c r="D32" s="45">
        <f t="shared" si="2"/>
        <v>13450.017677554013</v>
      </c>
      <c r="E32" s="45">
        <f t="shared" si="3"/>
        <v>1513.1269887248266</v>
      </c>
      <c r="F32" s="45">
        <f t="shared" si="12"/>
        <v>378.28174718120664</v>
      </c>
      <c r="G32" s="45">
        <f t="shared" si="4"/>
        <v>124.83297656979819</v>
      </c>
      <c r="H32" s="45">
        <v>0</v>
      </c>
      <c r="I32" s="46">
        <f t="shared" si="1"/>
        <v>124.83297656979819</v>
      </c>
      <c r="J32" s="82">
        <f t="shared" si="11"/>
        <v>41.153694325235435</v>
      </c>
      <c r="K32" s="61">
        <f t="shared" si="13"/>
        <v>1602.8495057523787</v>
      </c>
      <c r="L32" s="62">
        <f t="shared" si="7"/>
        <v>1490.6500403497123</v>
      </c>
      <c r="M32" s="68">
        <f t="shared" si="14"/>
        <v>267.1415842920631</v>
      </c>
      <c r="N32" s="69">
        <f t="shared" si="15"/>
        <v>248.44167339161868</v>
      </c>
      <c r="O32" s="75">
        <f t="shared" si="16"/>
        <v>61.648057913553018</v>
      </c>
      <c r="P32" s="76">
        <f t="shared" si="15"/>
        <v>57.332693859604305</v>
      </c>
    </row>
    <row r="33" spans="1:16" x14ac:dyDescent="0.25">
      <c r="A33" s="81">
        <v>2034</v>
      </c>
      <c r="B33" s="45">
        <f t="shared" si="10"/>
        <v>6725.0088387770065</v>
      </c>
      <c r="C33" s="44">
        <v>0</v>
      </c>
      <c r="D33" s="45">
        <f t="shared" si="2"/>
        <v>13450.017677554013</v>
      </c>
      <c r="E33" s="45">
        <f t="shared" si="3"/>
        <v>1513.1269887248266</v>
      </c>
      <c r="F33" s="45">
        <f t="shared" si="12"/>
        <v>378.28174718120664</v>
      </c>
      <c r="G33" s="45">
        <f t="shared" si="4"/>
        <v>124.83297656979819</v>
      </c>
      <c r="H33" s="45">
        <v>0</v>
      </c>
      <c r="I33" s="46">
        <f t="shared" si="1"/>
        <v>124.83297656979819</v>
      </c>
      <c r="J33" s="82">
        <f t="shared" si="11"/>
        <v>42.100229294715852</v>
      </c>
      <c r="K33" s="61">
        <f t="shared" si="13"/>
        <v>1639.7150443846833</v>
      </c>
      <c r="L33" s="62">
        <f t="shared" si="7"/>
        <v>1524.9349912777554</v>
      </c>
      <c r="M33" s="68">
        <f t="shared" si="14"/>
        <v>273.28584073078054</v>
      </c>
      <c r="N33" s="69">
        <f t="shared" si="15"/>
        <v>254.15583187962591</v>
      </c>
      <c r="O33" s="75">
        <f t="shared" si="16"/>
        <v>63.065963245564738</v>
      </c>
      <c r="P33" s="76">
        <f t="shared" si="15"/>
        <v>58.651345818375205</v>
      </c>
    </row>
    <row r="34" spans="1:16" x14ac:dyDescent="0.25">
      <c r="A34" s="81">
        <v>2035</v>
      </c>
      <c r="B34" s="45">
        <f t="shared" si="10"/>
        <v>6725.0088387770065</v>
      </c>
      <c r="C34" s="44">
        <v>0</v>
      </c>
      <c r="D34" s="45">
        <f t="shared" si="2"/>
        <v>13450.017677554013</v>
      </c>
      <c r="E34" s="45">
        <f t="shared" si="3"/>
        <v>1513.1269887248266</v>
      </c>
      <c r="F34" s="45">
        <f t="shared" si="12"/>
        <v>378.28174718120664</v>
      </c>
      <c r="G34" s="45">
        <f t="shared" si="4"/>
        <v>124.83297656979819</v>
      </c>
      <c r="H34" s="45">
        <v>0</v>
      </c>
      <c r="I34" s="46">
        <f t="shared" si="1"/>
        <v>124.83297656979819</v>
      </c>
      <c r="J34" s="82">
        <f t="shared" si="11"/>
        <v>43.068534568494314</v>
      </c>
      <c r="K34" s="61">
        <f t="shared" si="13"/>
        <v>1677.4284904055312</v>
      </c>
      <c r="L34" s="62">
        <f t="shared" si="7"/>
        <v>1560.0084960771439</v>
      </c>
      <c r="M34" s="68">
        <f t="shared" si="14"/>
        <v>279.57141506758848</v>
      </c>
      <c r="N34" s="69">
        <f t="shared" si="15"/>
        <v>260.00141601285731</v>
      </c>
      <c r="O34" s="75">
        <f t="shared" si="16"/>
        <v>64.516480400212728</v>
      </c>
      <c r="P34" s="76">
        <f t="shared" si="15"/>
        <v>60.000326772197837</v>
      </c>
    </row>
    <row r="35" spans="1:16" x14ac:dyDescent="0.25">
      <c r="A35" s="81">
        <v>2036</v>
      </c>
      <c r="B35" s="45">
        <f t="shared" si="10"/>
        <v>6725.0088387770065</v>
      </c>
      <c r="C35" s="44">
        <v>0</v>
      </c>
      <c r="D35" s="45">
        <f t="shared" si="2"/>
        <v>13450.017677554013</v>
      </c>
      <c r="E35" s="45">
        <f t="shared" si="3"/>
        <v>1513.1269887248266</v>
      </c>
      <c r="F35" s="45">
        <f t="shared" si="12"/>
        <v>378.28174718120664</v>
      </c>
      <c r="G35" s="45">
        <f t="shared" si="4"/>
        <v>124.83297656979819</v>
      </c>
      <c r="H35" s="45">
        <v>0</v>
      </c>
      <c r="I35" s="46">
        <f t="shared" si="1"/>
        <v>124.83297656979819</v>
      </c>
      <c r="J35" s="82">
        <f t="shared" si="11"/>
        <v>44.059110863569686</v>
      </c>
      <c r="K35" s="61">
        <f t="shared" si="13"/>
        <v>1716.0093456848583</v>
      </c>
      <c r="L35" s="62">
        <f t="shared" si="7"/>
        <v>1595.8886914869181</v>
      </c>
      <c r="M35" s="68">
        <f t="shared" si="14"/>
        <v>286.00155761414305</v>
      </c>
      <c r="N35" s="69">
        <f t="shared" si="15"/>
        <v>265.98144858115302</v>
      </c>
      <c r="O35" s="75">
        <f t="shared" si="16"/>
        <v>66.000359449417616</v>
      </c>
      <c r="P35" s="76">
        <f t="shared" si="15"/>
        <v>61.380334287958384</v>
      </c>
    </row>
    <row r="36" spans="1:16" x14ac:dyDescent="0.25">
      <c r="A36" s="81">
        <v>2037</v>
      </c>
      <c r="B36" s="45">
        <f t="shared" si="10"/>
        <v>6725.0088387770065</v>
      </c>
      <c r="C36" s="44">
        <v>0</v>
      </c>
      <c r="D36" s="45">
        <f t="shared" si="2"/>
        <v>13450.017677554013</v>
      </c>
      <c r="E36" s="45">
        <f t="shared" si="3"/>
        <v>1513.1269887248266</v>
      </c>
      <c r="F36" s="45">
        <f t="shared" si="12"/>
        <v>378.28174718120664</v>
      </c>
      <c r="G36" s="45">
        <f t="shared" si="4"/>
        <v>124.83297656979819</v>
      </c>
      <c r="H36" s="45">
        <v>0</v>
      </c>
      <c r="I36" s="46">
        <f t="shared" si="1"/>
        <v>124.83297656979819</v>
      </c>
      <c r="J36" s="82">
        <f t="shared" si="11"/>
        <v>45.072470413431788</v>
      </c>
      <c r="K36" s="61">
        <f t="shared" si="13"/>
        <v>1755.47756063561</v>
      </c>
      <c r="L36" s="62">
        <f t="shared" si="7"/>
        <v>1632.5941313911173</v>
      </c>
      <c r="M36" s="68">
        <f t="shared" si="14"/>
        <v>292.57959343926836</v>
      </c>
      <c r="N36" s="69">
        <f t="shared" si="15"/>
        <v>272.0990218985196</v>
      </c>
      <c r="O36" s="75">
        <f t="shared" si="16"/>
        <v>67.518367716754227</v>
      </c>
      <c r="P36" s="76">
        <f t="shared" si="15"/>
        <v>62.792081976581429</v>
      </c>
    </row>
    <row r="37" spans="1:16" x14ac:dyDescent="0.25">
      <c r="A37" s="81">
        <v>2038</v>
      </c>
      <c r="B37" s="45">
        <f t="shared" si="10"/>
        <v>6725.0088387770065</v>
      </c>
      <c r="C37" s="44">
        <v>0</v>
      </c>
      <c r="D37" s="45">
        <f t="shared" si="2"/>
        <v>13450.017677554013</v>
      </c>
      <c r="E37" s="45">
        <f t="shared" si="3"/>
        <v>1513.1269887248266</v>
      </c>
      <c r="F37" s="45">
        <f t="shared" si="12"/>
        <v>378.28174718120664</v>
      </c>
      <c r="G37" s="45">
        <f t="shared" si="4"/>
        <v>124.83297656979819</v>
      </c>
      <c r="H37" s="45">
        <v>0</v>
      </c>
      <c r="I37" s="46">
        <f t="shared" si="1"/>
        <v>124.83297656979819</v>
      </c>
      <c r="J37" s="82">
        <f t="shared" si="11"/>
        <v>46.109137232940718</v>
      </c>
      <c r="K37" s="61">
        <f t="shared" si="13"/>
        <v>1795.8535445302289</v>
      </c>
      <c r="L37" s="62">
        <f t="shared" si="7"/>
        <v>1670.1437964131128</v>
      </c>
      <c r="M37" s="68">
        <f t="shared" si="14"/>
        <v>299.3089240883715</v>
      </c>
      <c r="N37" s="69">
        <f t="shared" si="15"/>
        <v>278.3572994021855</v>
      </c>
      <c r="O37" s="75">
        <f t="shared" si="16"/>
        <v>69.071290174239579</v>
      </c>
      <c r="P37" s="76">
        <f t="shared" si="15"/>
        <v>64.236299862042813</v>
      </c>
    </row>
    <row r="38" spans="1:16" x14ac:dyDescent="0.25">
      <c r="A38" s="81">
        <v>2039</v>
      </c>
      <c r="B38" s="45">
        <f t="shared" si="10"/>
        <v>6725.0088387770065</v>
      </c>
      <c r="C38" s="44">
        <v>0</v>
      </c>
      <c r="D38" s="45">
        <f t="shared" si="2"/>
        <v>13450.017677554013</v>
      </c>
      <c r="E38" s="45">
        <f t="shared" si="3"/>
        <v>1513.1269887248266</v>
      </c>
      <c r="F38" s="45">
        <f t="shared" si="12"/>
        <v>378.28174718120664</v>
      </c>
      <c r="G38" s="45">
        <f t="shared" si="4"/>
        <v>124.83297656979819</v>
      </c>
      <c r="H38" s="45">
        <v>0</v>
      </c>
      <c r="I38" s="46">
        <f t="shared" si="1"/>
        <v>124.83297656979819</v>
      </c>
      <c r="J38" s="82">
        <f t="shared" si="11"/>
        <v>47.169647389298355</v>
      </c>
      <c r="K38" s="61">
        <f t="shared" si="13"/>
        <v>1837.1581760544243</v>
      </c>
      <c r="L38" s="62">
        <f t="shared" si="7"/>
        <v>1708.5571037306145</v>
      </c>
      <c r="M38" s="68">
        <f t="shared" si="14"/>
        <v>306.19302934240403</v>
      </c>
      <c r="N38" s="69">
        <f t="shared" si="15"/>
        <v>284.75951728843575</v>
      </c>
      <c r="O38" s="75">
        <f t="shared" si="16"/>
        <v>70.659929848247089</v>
      </c>
      <c r="P38" s="76">
        <f t="shared" si="15"/>
        <v>65.713734758869791</v>
      </c>
    </row>
    <row r="39" spans="1:16" x14ac:dyDescent="0.25">
      <c r="A39" s="81">
        <v>2040</v>
      </c>
      <c r="B39" s="45">
        <f t="shared" si="10"/>
        <v>6725.0088387770065</v>
      </c>
      <c r="C39" s="44">
        <v>0</v>
      </c>
      <c r="D39" s="45">
        <f t="shared" si="2"/>
        <v>13450.017677554013</v>
      </c>
      <c r="E39" s="45">
        <f t="shared" si="3"/>
        <v>1513.1269887248266</v>
      </c>
      <c r="F39" s="45">
        <f t="shared" si="12"/>
        <v>378.28174718120664</v>
      </c>
      <c r="G39" s="45">
        <f t="shared" si="4"/>
        <v>124.83297656979819</v>
      </c>
      <c r="H39" s="45">
        <v>0</v>
      </c>
      <c r="I39" s="46">
        <f t="shared" si="1"/>
        <v>124.83297656979819</v>
      </c>
      <c r="J39" s="82">
        <f t="shared" si="11"/>
        <v>48.254549279252217</v>
      </c>
      <c r="K39" s="61">
        <f t="shared" si="13"/>
        <v>1879.4128141036763</v>
      </c>
      <c r="L39" s="62">
        <f t="shared" si="7"/>
        <v>1747.8539171164189</v>
      </c>
      <c r="M39" s="68">
        <f t="shared" si="14"/>
        <v>313.23546901727934</v>
      </c>
      <c r="N39" s="69">
        <f t="shared" si="15"/>
        <v>291.30898618606977</v>
      </c>
      <c r="O39" s="75">
        <f t="shared" si="16"/>
        <v>72.285108234756777</v>
      </c>
      <c r="P39" s="76">
        <f t="shared" si="15"/>
        <v>67.225150658323798</v>
      </c>
    </row>
    <row r="40" spans="1:16" x14ac:dyDescent="0.25">
      <c r="A40" s="81">
        <v>2041</v>
      </c>
      <c r="B40" s="45">
        <f t="shared" si="10"/>
        <v>6725.0088387770065</v>
      </c>
      <c r="C40" s="44">
        <v>0</v>
      </c>
      <c r="D40" s="45">
        <f t="shared" si="2"/>
        <v>13450.017677554013</v>
      </c>
      <c r="E40" s="45">
        <f t="shared" si="3"/>
        <v>1513.1269887248266</v>
      </c>
      <c r="F40" s="45">
        <f t="shared" si="12"/>
        <v>378.28174718120664</v>
      </c>
      <c r="G40" s="45">
        <f t="shared" si="4"/>
        <v>124.83297656979819</v>
      </c>
      <c r="H40" s="45">
        <v>0</v>
      </c>
      <c r="I40" s="46">
        <f t="shared" si="1"/>
        <v>124.83297656979819</v>
      </c>
      <c r="J40" s="82">
        <f t="shared" si="11"/>
        <v>49.364403912675016</v>
      </c>
      <c r="K40" s="61">
        <f t="shared" si="13"/>
        <v>1922.6393088280606</v>
      </c>
      <c r="L40" s="62">
        <f t="shared" si="7"/>
        <v>1788.0545572100964</v>
      </c>
      <c r="M40" s="68">
        <f t="shared" si="14"/>
        <v>320.43988480467675</v>
      </c>
      <c r="N40" s="69">
        <f t="shared" si="15"/>
        <v>298.0090928683494</v>
      </c>
      <c r="O40" s="75">
        <f t="shared" si="16"/>
        <v>73.947665724156181</v>
      </c>
      <c r="P40" s="76">
        <f t="shared" si="15"/>
        <v>68.77132912346525</v>
      </c>
    </row>
    <row r="41" spans="1:16" x14ac:dyDescent="0.25">
      <c r="A41" s="81">
        <v>2042</v>
      </c>
      <c r="B41" s="45">
        <f t="shared" si="10"/>
        <v>6725.0088387770065</v>
      </c>
      <c r="C41" s="44">
        <v>0</v>
      </c>
      <c r="D41" s="45">
        <f t="shared" si="2"/>
        <v>13450.017677554013</v>
      </c>
      <c r="E41" s="45">
        <f t="shared" si="3"/>
        <v>1513.1269887248266</v>
      </c>
      <c r="F41" s="45">
        <f t="shared" si="12"/>
        <v>378.28174718120664</v>
      </c>
      <c r="G41" s="45">
        <f t="shared" si="4"/>
        <v>124.83297656979819</v>
      </c>
      <c r="H41" s="45">
        <v>0</v>
      </c>
      <c r="I41" s="46">
        <f t="shared" si="1"/>
        <v>124.83297656979819</v>
      </c>
      <c r="J41" s="82">
        <f t="shared" si="11"/>
        <v>50.499785202666544</v>
      </c>
      <c r="K41" s="61">
        <f t="shared" si="13"/>
        <v>1966.860012931106</v>
      </c>
      <c r="L41" s="62">
        <f t="shared" si="7"/>
        <v>1829.1798120259286</v>
      </c>
      <c r="M41" s="68">
        <f t="shared" si="14"/>
        <v>327.81000215518435</v>
      </c>
      <c r="N41" s="69">
        <f t="shared" si="15"/>
        <v>304.86330200432144</v>
      </c>
      <c r="O41" s="75">
        <f t="shared" si="16"/>
        <v>75.648462035811775</v>
      </c>
      <c r="P41" s="76">
        <f t="shared" si="15"/>
        <v>70.353069693304946</v>
      </c>
    </row>
    <row r="42" spans="1:16" x14ac:dyDescent="0.25">
      <c r="A42" s="81">
        <v>2043</v>
      </c>
      <c r="B42" s="45">
        <f t="shared" si="10"/>
        <v>6725.0088387770065</v>
      </c>
      <c r="C42" s="44">
        <v>0</v>
      </c>
      <c r="D42" s="45">
        <f t="shared" si="2"/>
        <v>13450.017677554013</v>
      </c>
      <c r="E42" s="45">
        <f t="shared" si="3"/>
        <v>1513.1269887248266</v>
      </c>
      <c r="F42" s="45">
        <f t="shared" si="12"/>
        <v>378.28174718120664</v>
      </c>
      <c r="G42" s="45">
        <f t="shared" si="4"/>
        <v>124.83297656979819</v>
      </c>
      <c r="H42" s="45">
        <v>0</v>
      </c>
      <c r="I42" s="46">
        <f t="shared" si="1"/>
        <v>124.83297656979819</v>
      </c>
      <c r="J42" s="82">
        <f t="shared" si="11"/>
        <v>51.661280262327878</v>
      </c>
      <c r="K42" s="61">
        <f t="shared" si="13"/>
        <v>2012.0977932285218</v>
      </c>
      <c r="L42" s="62">
        <f t="shared" si="7"/>
        <v>1871.2509477025253</v>
      </c>
      <c r="M42" s="68">
        <f t="shared" si="14"/>
        <v>335.34963220475356</v>
      </c>
      <c r="N42" s="69">
        <f t="shared" si="15"/>
        <v>311.87515795042083</v>
      </c>
      <c r="O42" s="75">
        <f t="shared" si="16"/>
        <v>77.388376662635451</v>
      </c>
      <c r="P42" s="76">
        <f t="shared" si="15"/>
        <v>71.971190296250967</v>
      </c>
    </row>
    <row r="43" spans="1:16" x14ac:dyDescent="0.25">
      <c r="A43" s="81">
        <v>2044</v>
      </c>
      <c r="B43" s="45">
        <f t="shared" si="10"/>
        <v>6725.0088387770065</v>
      </c>
      <c r="C43" s="44">
        <v>0</v>
      </c>
      <c r="D43" s="45">
        <f t="shared" si="2"/>
        <v>13450.017677554013</v>
      </c>
      <c r="E43" s="45">
        <f t="shared" si="3"/>
        <v>1513.1269887248266</v>
      </c>
      <c r="F43" s="45">
        <f t="shared" si="12"/>
        <v>378.28174718120664</v>
      </c>
      <c r="G43" s="45">
        <f t="shared" si="4"/>
        <v>124.83297656979819</v>
      </c>
      <c r="H43" s="45">
        <v>0</v>
      </c>
      <c r="I43" s="46">
        <f t="shared" si="1"/>
        <v>124.83297656979819</v>
      </c>
      <c r="J43" s="82">
        <f t="shared" si="11"/>
        <v>52.849489708361418</v>
      </c>
      <c r="K43" s="61">
        <f t="shared" si="13"/>
        <v>2058.3760424727775</v>
      </c>
      <c r="L43" s="62">
        <f t="shared" si="7"/>
        <v>1914.2897194996831</v>
      </c>
      <c r="M43" s="68">
        <f t="shared" si="14"/>
        <v>343.06267374546292</v>
      </c>
      <c r="N43" s="69">
        <f t="shared" si="15"/>
        <v>319.04828658328051</v>
      </c>
      <c r="O43" s="75">
        <f t="shared" si="16"/>
        <v>79.168309325876066</v>
      </c>
      <c r="P43" s="76">
        <f t="shared" si="15"/>
        <v>73.626527673064743</v>
      </c>
    </row>
    <row r="44" spans="1:16" x14ac:dyDescent="0.25">
      <c r="A44" s="81">
        <v>2045</v>
      </c>
      <c r="B44" s="45">
        <f t="shared" si="10"/>
        <v>6725.0088387770065</v>
      </c>
      <c r="C44" s="44">
        <v>0</v>
      </c>
      <c r="D44" s="45">
        <f t="shared" si="2"/>
        <v>13450.017677554013</v>
      </c>
      <c r="E44" s="45">
        <f t="shared" si="3"/>
        <v>1513.1269887248266</v>
      </c>
      <c r="F44" s="45">
        <f t="shared" si="12"/>
        <v>378.28174718120664</v>
      </c>
      <c r="G44" s="45">
        <f t="shared" si="4"/>
        <v>124.83297656979819</v>
      </c>
      <c r="H44" s="45">
        <v>0</v>
      </c>
      <c r="I44" s="46">
        <f t="shared" si="1"/>
        <v>124.83297656979819</v>
      </c>
      <c r="J44" s="82">
        <f t="shared" si="11"/>
        <v>54.065027971653727</v>
      </c>
      <c r="K44" s="61">
        <f t="shared" si="13"/>
        <v>2105.718691449651</v>
      </c>
      <c r="L44" s="62">
        <f t="shared" si="7"/>
        <v>1958.3183830481755</v>
      </c>
      <c r="M44" s="68">
        <f t="shared" si="14"/>
        <v>350.95311524160854</v>
      </c>
      <c r="N44" s="69">
        <f t="shared" si="15"/>
        <v>326.38639717469596</v>
      </c>
      <c r="O44" s="75">
        <f t="shared" si="16"/>
        <v>80.9891804403712</v>
      </c>
      <c r="P44" s="76">
        <f t="shared" si="15"/>
        <v>75.319937809545209</v>
      </c>
    </row>
    <row r="45" spans="1:16" x14ac:dyDescent="0.25">
      <c r="A45" s="81">
        <v>2046</v>
      </c>
      <c r="B45" s="45">
        <f t="shared" si="10"/>
        <v>6725.0088387770065</v>
      </c>
      <c r="C45" s="44">
        <v>0</v>
      </c>
      <c r="D45" s="45">
        <f t="shared" si="2"/>
        <v>13450.017677554013</v>
      </c>
      <c r="E45" s="45">
        <f t="shared" si="3"/>
        <v>1513.1269887248266</v>
      </c>
      <c r="F45" s="45">
        <f t="shared" si="12"/>
        <v>378.28174718120664</v>
      </c>
      <c r="G45" s="45">
        <f t="shared" si="4"/>
        <v>124.83297656979819</v>
      </c>
      <c r="H45" s="45">
        <v>0</v>
      </c>
      <c r="I45" s="46">
        <f t="shared" si="1"/>
        <v>124.83297656979819</v>
      </c>
      <c r="J45" s="82">
        <f t="shared" si="11"/>
        <v>55.308523615001761</v>
      </c>
      <c r="K45" s="61">
        <f t="shared" si="13"/>
        <v>2154.150221352993</v>
      </c>
      <c r="L45" s="62">
        <f t="shared" si="7"/>
        <v>2003.3597058582834</v>
      </c>
      <c r="M45" s="68">
        <f t="shared" si="14"/>
        <v>359.02503689216553</v>
      </c>
      <c r="N45" s="69">
        <f t="shared" si="15"/>
        <v>333.89328430971392</v>
      </c>
      <c r="O45" s="75">
        <f t="shared" si="16"/>
        <v>82.851931590499731</v>
      </c>
      <c r="P45" s="76">
        <f t="shared" si="15"/>
        <v>77.052296379164744</v>
      </c>
    </row>
    <row r="46" spans="1:16" x14ac:dyDescent="0.25">
      <c r="A46" s="81">
        <v>2047</v>
      </c>
      <c r="B46" s="45">
        <f t="shared" si="10"/>
        <v>6725.0088387770065</v>
      </c>
      <c r="C46" s="44">
        <v>0</v>
      </c>
      <c r="D46" s="45">
        <f t="shared" si="2"/>
        <v>13450.017677554013</v>
      </c>
      <c r="E46" s="45">
        <f t="shared" si="3"/>
        <v>1513.1269887248266</v>
      </c>
      <c r="F46" s="45">
        <f t="shared" si="12"/>
        <v>378.28174718120664</v>
      </c>
      <c r="G46" s="45">
        <f t="shared" si="4"/>
        <v>124.83297656979819</v>
      </c>
      <c r="H46" s="45">
        <v>0</v>
      </c>
      <c r="I46" s="46">
        <f t="shared" si="1"/>
        <v>124.83297656979819</v>
      </c>
      <c r="J46" s="82">
        <f t="shared" si="11"/>
        <v>56.580619658146801</v>
      </c>
      <c r="K46" s="61">
        <f t="shared" si="13"/>
        <v>2203.695676444112</v>
      </c>
      <c r="L46" s="62">
        <f t="shared" si="7"/>
        <v>2049.4369790930241</v>
      </c>
      <c r="M46" s="68">
        <f t="shared" si="14"/>
        <v>367.28261274068535</v>
      </c>
      <c r="N46" s="69">
        <f t="shared" si="15"/>
        <v>341.57282984883739</v>
      </c>
      <c r="O46" s="75">
        <f t="shared" si="16"/>
        <v>84.757526017081219</v>
      </c>
      <c r="P46" s="76">
        <f t="shared" si="15"/>
        <v>78.824499195885537</v>
      </c>
    </row>
    <row r="47" spans="1:16" x14ac:dyDescent="0.25">
      <c r="A47" s="81">
        <v>2048</v>
      </c>
      <c r="B47" s="45">
        <f t="shared" si="10"/>
        <v>6725.0088387770065</v>
      </c>
      <c r="C47" s="44">
        <v>0</v>
      </c>
      <c r="D47" s="45">
        <f t="shared" si="2"/>
        <v>13450.017677554013</v>
      </c>
      <c r="E47" s="45">
        <f t="shared" si="3"/>
        <v>1513.1269887248266</v>
      </c>
      <c r="F47" s="45">
        <f t="shared" si="12"/>
        <v>378.28174718120664</v>
      </c>
      <c r="G47" s="45">
        <f t="shared" si="4"/>
        <v>124.83297656979819</v>
      </c>
      <c r="H47" s="45">
        <v>0</v>
      </c>
      <c r="I47" s="46">
        <f t="shared" si="1"/>
        <v>124.83297656979819</v>
      </c>
      <c r="J47" s="82">
        <f t="shared" si="11"/>
        <v>57.881973910284181</v>
      </c>
      <c r="K47" s="61">
        <f t="shared" si="13"/>
        <v>2254.3806770023266</v>
      </c>
      <c r="L47" s="62">
        <f t="shared" si="7"/>
        <v>2096.5740296121639</v>
      </c>
      <c r="M47" s="68">
        <f t="shared" si="14"/>
        <v>375.73011283372108</v>
      </c>
      <c r="N47" s="69">
        <f t="shared" si="15"/>
        <v>349.42900493536058</v>
      </c>
      <c r="O47" s="75">
        <f t="shared" si="16"/>
        <v>86.706949115474103</v>
      </c>
      <c r="P47" s="76">
        <f t="shared" si="15"/>
        <v>80.637462677390914</v>
      </c>
    </row>
    <row r="48" spans="1:16" x14ac:dyDescent="0.25">
      <c r="A48" s="81">
        <v>2049</v>
      </c>
      <c r="B48" s="45">
        <f t="shared" si="10"/>
        <v>6725.0088387770065</v>
      </c>
      <c r="C48" s="44">
        <v>0</v>
      </c>
      <c r="D48" s="45">
        <f t="shared" si="2"/>
        <v>13450.017677554013</v>
      </c>
      <c r="E48" s="45">
        <f t="shared" si="3"/>
        <v>1513.1269887248266</v>
      </c>
      <c r="F48" s="45">
        <f t="shared" si="12"/>
        <v>378.28174718120664</v>
      </c>
      <c r="G48" s="45">
        <f t="shared" si="4"/>
        <v>124.83297656979819</v>
      </c>
      <c r="H48" s="45">
        <v>0</v>
      </c>
      <c r="I48" s="46">
        <f t="shared" si="1"/>
        <v>124.83297656979819</v>
      </c>
      <c r="J48" s="82">
        <f t="shared" si="11"/>
        <v>59.213259310220714</v>
      </c>
      <c r="K48" s="61">
        <f t="shared" si="13"/>
        <v>2306.2314325733805</v>
      </c>
      <c r="L48" s="62">
        <f t="shared" si="7"/>
        <v>2144.7952322932438</v>
      </c>
      <c r="M48" s="68">
        <f t="shared" si="14"/>
        <v>384.3719054288967</v>
      </c>
      <c r="N48" s="69">
        <f t="shared" si="15"/>
        <v>357.4658720488739</v>
      </c>
      <c r="O48" s="75">
        <f t="shared" si="16"/>
        <v>88.701208945130006</v>
      </c>
      <c r="P48" s="76">
        <f t="shared" si="15"/>
        <v>82.492124318970909</v>
      </c>
    </row>
    <row r="49" spans="1:16" ht="15.75" thickBot="1" x14ac:dyDescent="0.3">
      <c r="A49" s="83">
        <v>2050</v>
      </c>
      <c r="B49" s="45">
        <f t="shared" si="10"/>
        <v>6725.0088387770065</v>
      </c>
      <c r="C49" s="44">
        <v>0</v>
      </c>
      <c r="D49" s="45">
        <f t="shared" si="2"/>
        <v>13450.017677554013</v>
      </c>
      <c r="E49" s="45">
        <f t="shared" si="3"/>
        <v>1513.1269887248266</v>
      </c>
      <c r="F49" s="45">
        <f t="shared" si="12"/>
        <v>378.28174718120664</v>
      </c>
      <c r="G49" s="45">
        <f t="shared" si="4"/>
        <v>124.83297656979819</v>
      </c>
      <c r="H49" s="45">
        <v>0</v>
      </c>
      <c r="I49" s="46">
        <f t="shared" si="1"/>
        <v>124.83297656979819</v>
      </c>
      <c r="J49" s="82">
        <f t="shared" si="11"/>
        <v>60.575164274355792</v>
      </c>
      <c r="K49" s="61">
        <f t="shared" si="13"/>
        <v>2359.2747555225683</v>
      </c>
      <c r="L49" s="62">
        <f t="shared" si="7"/>
        <v>2194.1255226359885</v>
      </c>
      <c r="M49" s="68">
        <f t="shared" si="14"/>
        <v>393.21245925376132</v>
      </c>
      <c r="N49" s="69">
        <f t="shared" si="15"/>
        <v>365.68758710599803</v>
      </c>
      <c r="O49" s="75">
        <f t="shared" si="16"/>
        <v>90.741336750868015</v>
      </c>
      <c r="P49" s="76">
        <f t="shared" si="15"/>
        <v>84.38944317830726</v>
      </c>
    </row>
    <row r="50" spans="1:16" ht="15.75" thickBot="1" x14ac:dyDescent="0.3">
      <c r="A50" s="41"/>
      <c r="B50" s="48">
        <f>SUM(B17:B49)</f>
        <v>207800.25879906025</v>
      </c>
      <c r="C50" s="42"/>
      <c r="D50" s="42"/>
      <c r="E50" s="47">
        <f t="shared" ref="E50:H50" si="17">SUM(E17:E49)</f>
        <v>46755.058229788599</v>
      </c>
      <c r="F50" s="47">
        <f t="shared" si="17"/>
        <v>11688.76455744715</v>
      </c>
      <c r="G50" s="47">
        <f t="shared" si="17"/>
        <v>3857.2923039575571</v>
      </c>
      <c r="H50" s="47">
        <f t="shared" si="17"/>
        <v>1110.9668194219985</v>
      </c>
      <c r="I50" s="47">
        <f>SUM(I17:I49)</f>
        <v>2746.3254845355596</v>
      </c>
      <c r="J50" s="43"/>
      <c r="K50" s="63">
        <f t="shared" ref="K50:P50" si="18">SUM(K17:K49)</f>
        <v>41306.37159178967</v>
      </c>
      <c r="L50" s="56">
        <f t="shared" si="18"/>
        <v>38414.925580364397</v>
      </c>
      <c r="M50" s="70">
        <f t="shared" si="18"/>
        <v>6884.395265298278</v>
      </c>
      <c r="N50" s="55">
        <f t="shared" si="18"/>
        <v>6402.4875967273993</v>
      </c>
      <c r="O50" s="77">
        <f t="shared" si="18"/>
        <v>1588.7065996842184</v>
      </c>
      <c r="P50" s="54">
        <f t="shared" si="18"/>
        <v>1477.4971377063225</v>
      </c>
    </row>
    <row r="51" spans="1:16" x14ac:dyDescent="0.25">
      <c r="I51" s="53">
        <f>I50*52</f>
        <v>142808.92519584909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Inputs&amp;Outputs</vt:lpstr>
      <vt:lpstr>Calculations</vt:lpstr>
      <vt:lpstr>FacilityType</vt:lpstr>
      <vt:lpstr>Year_Open_to_Traffic?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A. Kramer</dc:creator>
  <cp:lastModifiedBy>Bridget A. Kramer</cp:lastModifiedBy>
  <dcterms:created xsi:type="dcterms:W3CDTF">2018-10-17T11:45:23Z</dcterms:created>
  <dcterms:modified xsi:type="dcterms:W3CDTF">2018-10-24T12:08:43Z</dcterms:modified>
</cp:coreProperties>
</file>