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4562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<sst xmlns="http://schemas.openxmlformats.org/spreadsheetml/2006/main" count="262" uniqueCount="130">
  <si>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</si>
  <si>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</si>
  <si>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</si>
  <si>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</si>
  <si>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</si>
  <si>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</si>
  <si>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</si>
  <si>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</si>
  <si>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</si>
  <si>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</si>
  <si>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</si>
  <si>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</si>
  <si>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</si>
  <si>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</si>
  <si>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</si>
  <si>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</si>
  <si>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</si>
  <si>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</si>
  <si>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</si>
  <si>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</si>
  <si>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</si>
  <si>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</si>
  <si>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</si>
  <si>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</si>
  <si>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</si>
  <si>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</si>
  <si>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</si>
  <si>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</si>
  <si>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</si>
  <si>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</si>
  <si>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</si>
  <si>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</si>
  <si>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</si>
  <si>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</si>
  <si>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</si>
  <si>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</si>
  <si>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</si>
  <si>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</si>
  <si>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</si>
  <si>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</si>
  <si>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</si>
  <si>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</si>
  <si>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</si>
  <si>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</si>
  <si>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</si>
  <si>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</si>
  <si>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</si>
  <si>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</si>
  <si>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</si>
  <si>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</si>
  <si>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</si>
  <si>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</si>
  <si>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</si>
  <si>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</si>
  <si>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</si>
  <si>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</si>
  <si>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</si>
  <si>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</si>
  <si>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</si>
  <si>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</si>
  <si>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</si>
  <si>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</si>
  <si>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</si>
  <si>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</si>
  <si>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</si>
  <si>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</si>
  <si>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</si>
  <si>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</si>
  <si>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</si>
  <si>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</si>
  <si>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</si>
  <si>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</si>
  <si>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</si>
  <si>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</si>
  <si>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</si>
  <si>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</si>
  <si>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</si>
  <si>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</si>
  <si>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</si>
  <si>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</si>
  <si>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</si>
  <si>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</si>
  <si>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</si>
  <si>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</si>
  <si>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</si>
  <si>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</si>
  <si>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</si>
  <si>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</si>
  <si>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</si>
  <si>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</si>
  <si>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</si>
  <si>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</si>
  <si>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</si>
  <si>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</si>
  <si>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</si>
  <si>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</si>
  <si>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</si>
  <si>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</si>
  <si>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</si>
  <si>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</si>
  <si>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</si>
  <si>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</si>
  <si>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</si>
  <si>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</si>
  <si>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</si>
  <si>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</si>
  <si>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</si>
  <si>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</si>
  <si>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</si>
  <si>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</si>
  <si>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</si>
  <si>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</si>
  <si>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</si>
  <si>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</si>
  <si>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</si>
  <si>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</si>
  <si>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</si>
  <si>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</si>
  <si>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</si>
  <si>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</si>
  <si>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</si>
  <si>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</si>
  <si>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</si>
  <si>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</si>
  <si>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</si>
  <si>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</si>
  <si>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</si>
  <si>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</si>
  <si>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</si>
  <si>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Garth Road Access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</si>
</sst>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B19" sqref="B19"/>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2021</v>
      </c>
    </row>
    <row r="14" spans="1:5" x14ac:dyDescent="0.25">
      <c r="A14" s="6" t="s">
        <v>86</v>
      </c>
      <c r="B14" s="6" t="s">
        <v>121</v>
      </c>
    </row>
    <row r="15" spans="1:5" x14ac:dyDescent="0.25">
      <c r="A15" s="106" t="s">
        <v>87</v>
      </c>
      <c r="B15" s="57" t="s">
        <v>76</v>
      </c>
    </row>
    <row r="16" spans="1:5" x14ac:dyDescent="0.25">
      <c r="A16" s="106" t="s">
        <v>88</v>
      </c>
      <c r="B16" s="57">
        <v>0.83</v>
      </c>
    </row>
    <row r="17" spans="1:3" x14ac:dyDescent="0.25">
      <c r="A17" s="107" t="s">
        <v>95</v>
      </c>
      <c r="B17" s="57">
        <v>25</v>
      </c>
    </row>
    <row r="18" spans="1:3" x14ac:dyDescent="0.25">
      <c r="A18" s="107" t="s">
        <v>96</v>
      </c>
      <c r="B18" s="57">
        <v>30</v>
      </c>
    </row>
    <row r="19" spans="1:3" x14ac:dyDescent="0.25">
      <c r="A19" s="96" t="s">
        <v>97</v>
      </c>
      <c r="B19" s="97">
        <f>VLOOKUP(B14,'Service Life'!C6:D8,2,FALSE)</f>
        <v>20</v>
      </c>
    </row>
    <row r="21" spans="1:3" x14ac:dyDescent="0.25">
      <c r="A21" s="102" t="s">
        <v>89</v>
      </c>
    </row>
    <row r="22" spans="1:3" ht="20.25" customHeight="1" x14ac:dyDescent="0.25">
      <c r="A22" s="107" t="s">
        <v>90</v>
      </c>
      <c r="B22" s="119">
        <v>32563</v>
      </c>
    </row>
    <row r="23" spans="1:3" ht="30" x14ac:dyDescent="0.25">
      <c r="A23" s="118" t="s">
        <v>101</v>
      </c>
      <c r="B23" s="120">
        <v>16103</v>
      </c>
    </row>
    <row r="24" spans="1:3" ht="30" x14ac:dyDescent="0.25">
      <c r="A24" s="118" t="s">
        <v>102</v>
      </c>
      <c r="B24" s="120">
        <v>28882</v>
      </c>
    </row>
    <row r="27" spans="1:3" ht="18.75" x14ac:dyDescent="0.3">
      <c r="A27" s="100" t="s">
        <v>55</v>
      </c>
      <c r="B27" s="101"/>
    </row>
    <row r="29" spans="1:3" x14ac:dyDescent="0.25">
      <c r="A29" s="108" t="s">
        <v>53</v>
      </c>
    </row>
    <row r="30" spans="1:3" x14ac:dyDescent="0.25">
      <c r="A30" s="105" t="s">
        <v>112</v>
      </c>
      <c r="B30" s="114">
        <f>'Benefit Calculations'!M37</f>
        <v>1662.390125111594</v>
      </c>
    </row>
    <row r="31" spans="1:3" x14ac:dyDescent="0.25">
      <c r="A31" s="105" t="s">
        <v>113</v>
      </c>
      <c r="B31" s="114">
        <f>'Benefit Calculations'!Q37</f>
        <v>88.064266053978258</v>
      </c>
      <c r="C31" s="109"/>
    </row>
    <row r="32" spans="1:3" x14ac:dyDescent="0.25">
      <c r="A32" s="110"/>
      <c r="B32" s="111"/>
      <c r="C32" s="109"/>
    </row>
    <row r="33" spans="1:9" x14ac:dyDescent="0.25">
      <c r="A33" s="108" t="s">
        <v>94</v>
      </c>
      <c r="B33" s="111"/>
      <c r="C33" s="109"/>
    </row>
    <row r="34" spans="1:9" x14ac:dyDescent="0.25">
      <c r="A34" s="105" t="s">
        <v>114</v>
      </c>
      <c r="B34" s="114">
        <f>$B$30+$B$31</f>
        <v>1750.4543911655724</v>
      </c>
      <c r="C34" s="109"/>
    </row>
    <row r="35" spans="1:9" x14ac:dyDescent="0.25">
      <c r="I35" s="112"/>
    </row>
    <row r="36" spans="1:9" x14ac:dyDescent="0.25">
      <c r="A36" s="108" t="s">
        <v>107</v>
      </c>
    </row>
    <row r="37" spans="1:9" x14ac:dyDescent="0.25">
      <c r="A37" s="105" t="s">
        <v>116</v>
      </c>
      <c r="B37" s="115">
        <f>'Benefit Calculations'!K37</f>
        <v>0.48320335215021132</v>
      </c>
    </row>
    <row r="38" spans="1:9" x14ac:dyDescent="0.25">
      <c r="A38" s="105" t="s">
        <v>117</v>
      </c>
      <c r="B38" s="115">
        <f>'Benefit Calculations'!O37</f>
        <v>0.1008848591338348</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6.7192703485499994E-2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1.52097996324E-2</v>
      </c>
      <c r="F4" s="70">
        <v>2018</v>
      </c>
      <c r="G4" s="80">
        <f>'Inputs &amp; Outputs'!B22</f>
        <v>32563</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6.20126985013E-2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1.41283003612999E-2</v>
      </c>
      <c r="F5" s="70">
        <f t="shared" ref="F5:F36" si="2">F4+1</f>
        <v>2019</v>
      </c>
      <c r="G5" s="80">
        <f>G4+G4*H5</f>
        <v>29446.669251353764</v>
      </c>
      <c r="H5" s="79">
        <f>$C$9</f>
        <v>-9.5701586114492976E-2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26628.576298210341</v>
      </c>
      <c r="H6" s="79">
        <f t="shared" ref="H6:H11" si="7">$C$9</f>
        <v>-9.5701586114492976E-2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24080.179310500818</v>
      </c>
      <c r="H7" s="79">
        <f t="shared" si="7"/>
        <v>-9.5701586114492976E-2</v>
      </c>
      <c r="I7" s="70">
        <f>IF(AND(F7&gt;='Inputs &amp; Outputs'!B$13,F7&lt;'Inputs &amp; Outputs'!B$13+'Inputs &amp; Outputs'!B$19),1,0)</f>
        <v>1</v>
      </c>
      <c r="J7" s="71">
        <f>I7*'Inputs &amp; Outputs'!B$16*'Benefit Calculations'!G7*('Benefit Calculations'!C$4-'Benefit Calculations'!C$5)</f>
        <v>103.53042254452376</v>
      </c>
      <c r="K7" s="89">
        <f t="shared" si="3"/>
        <v>2.9671940710568286E-2</v>
      </c>
      <c r="L7" s="72">
        <f>K7*'Assumed Values'!$C$8</f>
        <v>222.7769308549467</v>
      </c>
      <c r="M7" s="73">
        <f t="shared" si="0"/>
        <v>181.85233567715312</v>
      </c>
      <c r="N7" s="88">
        <f>I7*'Inputs &amp; Outputs'!B$16*'Benefit Calculations'!G7*('Benefit Calculations'!D$4-'Benefit Calculations'!D$5)</f>
        <v>21.615437988981068</v>
      </c>
      <c r="O7" s="89">
        <f t="shared" si="4"/>
        <v>6.1950099176518517E-3</v>
      </c>
      <c r="P7" s="72">
        <f>ABS(O7*'Assumed Values'!$C$7)</f>
        <v>11.801493893126777</v>
      </c>
      <c r="Q7" s="73">
        <f t="shared" si="1"/>
        <v>9.6335344090997417</v>
      </c>
      <c r="T7" s="85">
        <f t="shared" si="5"/>
        <v>2.6917909861576175E-2</v>
      </c>
      <c r="U7" s="86">
        <f>T7*'Assumed Values'!$D$8</f>
        <v>0</v>
      </c>
    </row>
    <row r="8" spans="2:21" x14ac:dyDescent="0.25">
      <c r="B8" s="15" t="s">
        <v>17</v>
      </c>
      <c r="F8" s="70">
        <f t="shared" si="2"/>
        <v>2022</v>
      </c>
      <c r="G8" s="80">
        <f t="shared" si="6"/>
        <v>21775.667956564492</v>
      </c>
      <c r="H8" s="79">
        <f t="shared" si="7"/>
        <v>-9.5701586114492976E-2</v>
      </c>
      <c r="I8" s="70">
        <f>IF(AND(F8&gt;='Inputs &amp; Outputs'!B$13,F8&lt;'Inputs &amp; Outputs'!B$13+'Inputs &amp; Outputs'!B$19),1,0)</f>
        <v>1</v>
      </c>
      <c r="J8" s="71">
        <f>I8*'Inputs &amp; Outputs'!B$16*'Benefit Calculations'!G8*('Benefit Calculations'!C$4-'Benefit Calculations'!C$5)</f>
        <v>93.622396895909191</v>
      </c>
      <c r="K8" s="89">
        <f t="shared" si="3"/>
        <v>2.6832288921471707E-2</v>
      </c>
      <c r="L8" s="72">
        <f>K8*'Assumed Values'!$C$8</f>
        <v>201.45682522240958</v>
      </c>
      <c r="M8" s="73">
        <f t="shared" si="0"/>
        <v>153.69044739647137</v>
      </c>
      <c r="N8" s="88">
        <f>I8*'Inputs &amp; Outputs'!B$16*'Benefit Calculations'!G8*('Benefit Calculations'!D$4-'Benefit Calculations'!D$5)</f>
        <v>19.546806288876116</v>
      </c>
      <c r="O8" s="89">
        <f t="shared" si="4"/>
        <v>5.6021376425375562E-3</v>
      </c>
      <c r="P8" s="72">
        <f>ABS(O8*'Assumed Values'!$C$7)</f>
        <v>10.672072209034045</v>
      </c>
      <c r="Q8" s="73">
        <f t="shared" si="1"/>
        <v>8.1416727908975286</v>
      </c>
      <c r="T8" s="85">
        <f t="shared" si="5"/>
        <v>2.4341823192936391E-2</v>
      </c>
      <c r="U8" s="86">
        <f>T8*'Assumed Values'!$D$8</f>
        <v>0</v>
      </c>
    </row>
    <row r="9" spans="2:21" x14ac:dyDescent="0.25">
      <c r="B9" s="16" t="s">
        <v>104</v>
      </c>
      <c r="C9" s="67">
        <f>('Inputs &amp; Outputs'!B23/'Inputs &amp; Outputs'!B22)^(1/(2025-2018))-1</f>
        <v>-9.5701586114492976E-2</v>
      </c>
      <c r="F9" s="70">
        <f t="shared" si="2"/>
        <v>2023</v>
      </c>
      <c r="G9" s="80">
        <f t="shared" si="6"/>
        <v>19691.70199441873</v>
      </c>
      <c r="H9" s="79">
        <f t="shared" si="7"/>
        <v>-9.5701586114492976E-2</v>
      </c>
      <c r="I9" s="70">
        <f>IF(AND(F9&gt;='Inputs &amp; Outputs'!B$13,F9&lt;'Inputs &amp; Outputs'!B$13+'Inputs &amp; Outputs'!B$19),1,0)</f>
        <v>1</v>
      </c>
      <c r="J9" s="71">
        <f>I9*'Inputs &amp; Outputs'!B$16*'Benefit Calculations'!G9*('Benefit Calculations'!C$4-'Benefit Calculations'!C$5)</f>
        <v>84.662585017130084</v>
      </c>
      <c r="K9" s="89">
        <f t="shared" si="3"/>
        <v>2.4264396312604523E-2</v>
      </c>
      <c r="L9" s="72">
        <f>K9*'Assumed Values'!$C$8</f>
        <v>182.17708751503477</v>
      </c>
      <c r="M9" s="73">
        <f t="shared" si="0"/>
        <v>129.88974561680655</v>
      </c>
      <c r="N9" s="88">
        <f>I9*'Inputs &amp; Outputs'!B$16*'Benefit Calculations'!G9*('Benefit Calculations'!D$4-'Benefit Calculations'!D$5)</f>
        <v>17.676145923557925</v>
      </c>
      <c r="O9" s="89">
        <f t="shared" si="4"/>
        <v>5.0660041845150055E-3</v>
      </c>
      <c r="P9" s="72">
        <f>ABS(O9*'Assumed Values'!$C$7)</f>
        <v>9.6507379715010853</v>
      </c>
      <c r="Q9" s="73">
        <f t="shared" si="1"/>
        <v>6.8808427954985261</v>
      </c>
      <c r="T9" s="85">
        <f t="shared" si="5"/>
        <v>2.2012272104453823E-2</v>
      </c>
      <c r="U9" s="86">
        <f>T9*'Assumed Values'!$D$8</f>
        <v>0</v>
      </c>
    </row>
    <row r="10" spans="2:21" x14ac:dyDescent="0.25">
      <c r="B10" s="16" t="s">
        <v>105</v>
      </c>
      <c r="C10" s="67">
        <f>('Inputs &amp; Outputs'!B24/'Inputs &amp; Outputs'!B23)^(1/(2045-2020))-1</f>
        <v>2.3643702146119772E-2</v>
      </c>
      <c r="F10" s="70">
        <f t="shared" si="2"/>
        <v>2024</v>
      </c>
      <c r="G10" s="80">
        <f t="shared" si="6"/>
        <v>17807.174880258932</v>
      </c>
      <c r="H10" s="79">
        <f t="shared" si="7"/>
        <v>-9.5701586114492976E-2</v>
      </c>
      <c r="I10" s="70">
        <f>IF(AND(F10&gt;='Inputs &amp; Outputs'!B$13,F10&lt;'Inputs &amp; Outputs'!B$13+'Inputs &amp; Outputs'!B$19),1,0)</f>
        <v>1</v>
      </c>
      <c r="J10" s="71">
        <f>I10*'Inputs &amp; Outputs'!B$16*'Benefit Calculations'!G10*('Benefit Calculations'!C$4-'Benefit Calculations'!C$5)</f>
        <v>76.560241346437621</v>
      </c>
      <c r="K10" s="89">
        <f t="shared" si="3"/>
        <v>2.1942255099377615E-2</v>
      </c>
      <c r="L10" s="72">
        <f>K10*'Assumed Values'!$C$8</f>
        <v>164.74245128612714</v>
      </c>
      <c r="M10" s="73">
        <f t="shared" si="0"/>
        <v>109.77485134698144</v>
      </c>
      <c r="N10" s="88">
        <f>I10*'Inputs &amp; Outputs'!B$16*'Benefit Calculations'!G10*('Benefit Calculations'!D$4-'Benefit Calculations'!D$5)</f>
        <v>15.984510722282202</v>
      </c>
      <c r="O10" s="89">
        <f t="shared" si="4"/>
        <v>4.5811795487942604E-3</v>
      </c>
      <c r="P10" s="72">
        <f>ABS(O10*'Assumed Values'!$C$7)</f>
        <v>8.7271470404530653</v>
      </c>
      <c r="Q10" s="73">
        <f t="shared" si="1"/>
        <v>5.8152665665091918</v>
      </c>
      <c r="T10" s="85">
        <f t="shared" si="5"/>
        <v>1.9905662750073782E-2</v>
      </c>
      <c r="U10" s="86">
        <f>T10*'Assumed Values'!$D$8</f>
        <v>0</v>
      </c>
    </row>
    <row r="11" spans="2:21" x14ac:dyDescent="0.25">
      <c r="B11" s="16" t="s">
        <v>106</v>
      </c>
      <c r="C11" s="67">
        <f>('Inputs &amp; Outputs'!B24/'Inputs &amp; Outputs'!B22)^(1/(2045-2018))-1</f>
        <v>-4.4330379430760347E-3</v>
      </c>
      <c r="F11" s="70">
        <f t="shared" si="2"/>
        <v>2025</v>
      </c>
      <c r="G11" s="80">
        <f>'Inputs &amp; Outputs'!$B$23</f>
        <v>16103</v>
      </c>
      <c r="H11" s="79">
        <f t="shared" si="7"/>
        <v>-9.5701586114492976E-2</v>
      </c>
      <c r="I11" s="70">
        <f>IF(AND(F11&gt;='Inputs &amp; Outputs'!B$13,F11&lt;'Inputs &amp; Outputs'!B$13+'Inputs &amp; Outputs'!B$19),1,0)</f>
        <v>1</v>
      </c>
      <c r="J11" s="71">
        <f>I11*'Inputs &amp; Outputs'!B$16*'Benefit Calculations'!G11*('Benefit Calculations'!C$4-'Benefit Calculations'!C$5)</f>
        <v>69.233304816275179</v>
      </c>
      <c r="K11" s="89">
        <f t="shared" si="3"/>
        <v>1.9842346483438363E-2</v>
      </c>
      <c r="L11" s="72">
        <f>K11*'Assumed Values'!$C$8</f>
        <v>148.97633739765521</v>
      </c>
      <c r="M11" s="73">
        <f t="shared" si="0"/>
        <v>92.774975661301539</v>
      </c>
      <c r="N11" s="88">
        <f>I11*'Inputs &amp; Outputs'!B$16*'Benefit Calculations'!G11*('Benefit Calculations'!D$4-'Benefit Calculations'!D$5)</f>
        <v>14.454767692895681</v>
      </c>
      <c r="O11" s="89">
        <f t="shared" si="4"/>
        <v>4.1427533996993733E-3</v>
      </c>
      <c r="P11" s="72">
        <f>ABS(O11*'Assumed Values'!$C$7)</f>
        <v>7.891945226427306</v>
      </c>
      <c r="Q11" s="73">
        <f t="shared" si="1"/>
        <v>4.9147068527249358</v>
      </c>
      <c r="T11" s="85">
        <f t="shared" si="5"/>
        <v>1.8000659252231547E-2</v>
      </c>
      <c r="U11" s="86">
        <f>T11*'Assumed Values'!$D$8</f>
        <v>0</v>
      </c>
    </row>
    <row r="12" spans="2:21" x14ac:dyDescent="0.25">
      <c r="B12" s="27"/>
      <c r="C12" s="68"/>
      <c r="F12" s="70">
        <f t="shared" si="2"/>
        <v>2026</v>
      </c>
      <c r="G12" s="80">
        <f t="shared" si="6"/>
        <v>16483.734535658965</v>
      </c>
      <c r="H12" s="79">
        <f>$C$10</f>
        <v>2.3643702146119772E-2</v>
      </c>
      <c r="I12" s="70">
        <f>IF(AND(F12&gt;='Inputs &amp; Outputs'!B$13,F12&lt;'Inputs &amp; Outputs'!B$13+'Inputs &amp; Outputs'!B$19),1,0)</f>
        <v>1</v>
      </c>
      <c r="J12" s="71">
        <f>I12*'Inputs &amp; Outputs'!B$16*'Benefit Calculations'!G12*('Benefit Calculations'!C$4-'Benefit Calculations'!C$5)</f>
        <v>70.870236453942695</v>
      </c>
      <c r="K12" s="89">
        <f t="shared" si="3"/>
        <v>2.0311493013572882E-2</v>
      </c>
      <c r="L12" s="72">
        <f>K12*'Assumed Values'!$C$8</f>
        <v>152.49868954590519</v>
      </c>
      <c r="M12" s="73">
        <f t="shared" si="0"/>
        <v>88.755625749954064</v>
      </c>
      <c r="N12" s="88">
        <f>I12*'Inputs &amp; Outputs'!B$16*'Benefit Calculations'!G12*('Benefit Calculations'!D$4-'Benefit Calculations'!D$5)</f>
        <v>14.796531914817859</v>
      </c>
      <c r="O12" s="89">
        <f t="shared" si="4"/>
        <v>4.2407034271466897E-3</v>
      </c>
      <c r="P12" s="72">
        <f>ABS(O12*'Assumed Values'!$C$7)</f>
        <v>8.0785400287144444</v>
      </c>
      <c r="Q12" s="73">
        <f t="shared" si="1"/>
        <v>4.7017838483049141</v>
      </c>
      <c r="T12" s="85">
        <f t="shared" si="5"/>
        <v>1.8426261478025101E-2</v>
      </c>
      <c r="U12" s="86">
        <f>T12*'Assumed Values'!$D$8</f>
        <v>0</v>
      </c>
    </row>
    <row r="13" spans="2:21" x14ac:dyDescent="0.25">
      <c r="B13" s="27"/>
      <c r="C13" s="68"/>
      <c r="F13" s="70">
        <f t="shared" si="2"/>
        <v>2027</v>
      </c>
      <c r="G13" s="80">
        <f t="shared" si="6"/>
        <v>16873.471045275794</v>
      </c>
      <c r="H13" s="79">
        <f t="shared" ref="H13:H36" si="8">$C$10</f>
        <v>2.3643702146119772E-2</v>
      </c>
      <c r="I13" s="70">
        <f>IF(AND(F13&gt;='Inputs &amp; Outputs'!B$13,F13&lt;'Inputs &amp; Outputs'!B$13+'Inputs &amp; Outputs'!B$19),1,0)</f>
        <v>1</v>
      </c>
      <c r="J13" s="71">
        <f>I13*'Inputs &amp; Outputs'!B$16*'Benefit Calculations'!G13*('Benefit Calculations'!C$4-'Benefit Calculations'!C$5)</f>
        <v>72.545871215684798</v>
      </c>
      <c r="K13" s="89">
        <f t="shared" si="3"/>
        <v>2.0791731904528793E-2</v>
      </c>
      <c r="L13" s="72">
        <f>K13*'Assumed Values'!$C$8</f>
        <v>156.10432313920217</v>
      </c>
      <c r="M13" s="73">
        <f t="shared" si="0"/>
        <v>84.910408718671448</v>
      </c>
      <c r="N13" s="88">
        <f>I13*'Inputs &amp; Outputs'!B$16*'Benefit Calculations'!G13*('Benefit Calculations'!D$4-'Benefit Calculations'!D$5)</f>
        <v>15.146376708207367</v>
      </c>
      <c r="O13" s="89">
        <f t="shared" si="4"/>
        <v>4.3409693558681762E-3</v>
      </c>
      <c r="P13" s="72">
        <f>ABS(O13*'Assumed Values'!$C$7)</f>
        <v>8.2695466229288748</v>
      </c>
      <c r="Q13" s="73">
        <f t="shared" si="1"/>
        <v>4.498085444083805</v>
      </c>
      <c r="T13" s="85">
        <f t="shared" si="5"/>
        <v>1.8861926516078049E-2</v>
      </c>
      <c r="U13" s="86">
        <f>T13*'Assumed Values'!$D$8</f>
        <v>0</v>
      </c>
    </row>
    <row r="14" spans="2:21" x14ac:dyDescent="0.25">
      <c r="B14" s="27"/>
      <c r="C14" s="68"/>
      <c r="F14" s="70">
        <f t="shared" si="2"/>
        <v>2028</v>
      </c>
      <c r="G14" s="80">
        <f t="shared" si="6"/>
        <v>17272.422368841471</v>
      </c>
      <c r="H14" s="79">
        <f t="shared" si="8"/>
        <v>2.3643702146119772E-2</v>
      </c>
      <c r="I14" s="70">
        <f>IF(AND(F14&gt;='Inputs &amp; Outputs'!B$13,F14&lt;'Inputs &amp; Outputs'!B$13+'Inputs &amp; Outputs'!B$19),1,0)</f>
        <v>1</v>
      </c>
      <c r="J14" s="71">
        <f>I14*'Inputs &amp; Outputs'!B$16*'Benefit Calculations'!G14*('Benefit Calculations'!C$4-'Benefit Calculations'!C$5)</f>
        <v>74.261124186639222</v>
      </c>
      <c r="K14" s="89">
        <f t="shared" si="3"/>
        <v>2.128332542078145E-2</v>
      </c>
      <c r="L14" s="72">
        <f>K14*'Assumed Values'!$C$8</f>
        <v>159.79520725922714</v>
      </c>
      <c r="M14" s="73">
        <f t="shared" si="0"/>
        <v>81.231780496748641</v>
      </c>
      <c r="N14" s="88">
        <f>I14*'Inputs &amp; Outputs'!B$16*'Benefit Calculations'!G14*('Benefit Calculations'!D$4-'Benefit Calculations'!D$5)</f>
        <v>15.50449312768915</v>
      </c>
      <c r="O14" s="89">
        <f t="shared" si="4"/>
        <v>4.4436059423437575E-3</v>
      </c>
      <c r="P14" s="72">
        <f>ABS(O14*'Assumed Values'!$C$7)</f>
        <v>8.4650693201648579</v>
      </c>
      <c r="Q14" s="73">
        <f t="shared" si="1"/>
        <v>4.3032119967771223</v>
      </c>
      <c r="T14" s="85">
        <f t="shared" si="5"/>
        <v>1.9307892288526196E-2</v>
      </c>
      <c r="U14" s="86">
        <f>T14*'Assumed Values'!$D$8</f>
        <v>0</v>
      </c>
    </row>
    <row r="15" spans="2:21" x14ac:dyDescent="0.25">
      <c r="B15" s="27"/>
      <c r="C15" s="69"/>
      <c r="F15" s="70">
        <f t="shared" si="2"/>
        <v>2029</v>
      </c>
      <c r="G15" s="80">
        <f t="shared" si="6"/>
        <v>17680.806378672336</v>
      </c>
      <c r="H15" s="79">
        <f t="shared" si="8"/>
        <v>2.3643702146119772E-2</v>
      </c>
      <c r="I15" s="70">
        <f>IF(AND(F15&gt;='Inputs &amp; Outputs'!B$13,F15&lt;'Inputs &amp; Outputs'!B$13+'Inputs &amp; Outputs'!B$19),1,0)</f>
        <v>1</v>
      </c>
      <c r="J15" s="71">
        <f>I15*'Inputs &amp; Outputs'!B$16*'Benefit Calculations'!G15*('Benefit Calculations'!C$4-'Benefit Calculations'!C$5)</f>
        <v>76.016932087944127</v>
      </c>
      <c r="K15" s="89">
        <f t="shared" si="3"/>
        <v>2.1786542027709344E-2</v>
      </c>
      <c r="L15" s="72">
        <f>K15*'Assumed Values'!$C$8</f>
        <v>163.57335754404176</v>
      </c>
      <c r="M15" s="73">
        <f t="shared" si="0"/>
        <v>77.712523850105342</v>
      </c>
      <c r="N15" s="88">
        <f>I15*'Inputs &amp; Outputs'!B$16*'Benefit Calculations'!G15*('Benefit Calculations'!D$4-'Benefit Calculations'!D$5)</f>
        <v>15.871076745126793</v>
      </c>
      <c r="O15" s="89">
        <f t="shared" si="4"/>
        <v>4.5486692376992604E-3</v>
      </c>
      <c r="P15" s="72">
        <f>ABS(O15*'Assumed Values'!$C$7)</f>
        <v>8.6652148978170906</v>
      </c>
      <c r="Q15" s="73">
        <f t="shared" si="1"/>
        <v>4.1167811771032978</v>
      </c>
      <c r="T15" s="85">
        <f t="shared" si="5"/>
        <v>1.9764402342865472E-2</v>
      </c>
      <c r="U15" s="86">
        <f>T15*'Assumed Values'!$D$8</f>
        <v>0</v>
      </c>
    </row>
    <row r="16" spans="2:21" x14ac:dyDescent="0.25">
      <c r="B16" s="27"/>
      <c r="C16" s="69"/>
      <c r="F16" s="70">
        <f t="shared" si="2"/>
        <v>2030</v>
      </c>
      <c r="G16" s="80">
        <f t="shared" si="6"/>
        <v>18098.846098392878</v>
      </c>
      <c r="H16" s="79">
        <f t="shared" si="8"/>
        <v>2.3643702146119772E-2</v>
      </c>
      <c r="I16" s="70">
        <f>IF(AND(F16&gt;='Inputs &amp; Outputs'!B$13,F16&lt;'Inputs &amp; Outputs'!B$13+'Inputs &amp; Outputs'!B$19),1,0)</f>
        <v>1</v>
      </c>
      <c r="J16" s="71">
        <f>I16*'Inputs &amp; Outputs'!B$16*'Benefit Calculations'!G16*('Benefit Calculations'!C$4-'Benefit Calculations'!C$5)</f>
        <v>77.8142537882933</v>
      </c>
      <c r="K16" s="89">
        <f t="shared" si="3"/>
        <v>2.2301656538206423E-2</v>
      </c>
      <c r="L16" s="72">
        <f>K16*'Assumed Values'!$C$8</f>
        <v>167.44083728885383</v>
      </c>
      <c r="M16" s="73">
        <f t="shared" si="0"/>
        <v>74.345734221533149</v>
      </c>
      <c r="N16" s="88">
        <f>I16*'Inputs &amp; Outputs'!B$16*'Benefit Calculations'!G16*('Benefit Calculations'!D$4-'Benefit Calculations'!D$5)</f>
        <v>16.24632775642678</v>
      </c>
      <c r="O16" s="89">
        <f t="shared" si="4"/>
        <v>4.6562166183166404E-3</v>
      </c>
      <c r="P16" s="72">
        <f>ABS(O16*'Assumed Values'!$C$7)</f>
        <v>8.8700926578932009</v>
      </c>
      <c r="Q16" s="73">
        <f t="shared" si="1"/>
        <v>3.938427219678021</v>
      </c>
      <c r="T16" s="85">
        <f t="shared" si="5"/>
        <v>2.0231705984956258E-2</v>
      </c>
      <c r="U16" s="86">
        <f>T16*'Assumed Values'!$D$8</f>
        <v>0</v>
      </c>
    </row>
    <row r="17" spans="2:21" x14ac:dyDescent="0.25">
      <c r="B17" s="27"/>
      <c r="C17" s="69"/>
      <c r="F17" s="70">
        <f t="shared" si="2"/>
        <v>2031</v>
      </c>
      <c r="G17" s="80">
        <f t="shared" si="6"/>
        <v>18526.769824731742</v>
      </c>
      <c r="H17" s="79">
        <f t="shared" si="8"/>
        <v>2.3643702146119772E-2</v>
      </c>
      <c r="I17" s="70">
        <f>IF(AND(F17&gt;='Inputs &amp; Outputs'!B$13,F17&lt;'Inputs &amp; Outputs'!B$13+'Inputs &amp; Outputs'!B$19),1,0)</f>
        <v>1</v>
      </c>
      <c r="J17" s="71">
        <f>I17*'Inputs &amp; Outputs'!B$16*'Benefit Calculations'!G17*('Benefit Calculations'!C$4-'Benefit Calculations'!C$5)</f>
        <v>79.654070827586267</v>
      </c>
      <c r="K17" s="89">
        <f t="shared" si="3"/>
        <v>2.2828950262760838E-2</v>
      </c>
      <c r="L17" s="72">
        <f>K17*'Assumed Values'!$C$8</f>
        <v>171.39975857280837</v>
      </c>
      <c r="M17" s="73">
        <f t="shared" si="0"/>
        <v>71.12480618439406</v>
      </c>
      <c r="N17" s="88">
        <f>I17*'Inputs &amp; Outputs'!B$16*'Benefit Calculations'!G17*('Benefit Calculations'!D$4-'Benefit Calculations'!D$5)</f>
        <v>16.630451090867972</v>
      </c>
      <c r="O17" s="89">
        <f t="shared" si="4"/>
        <v>4.7663068171679311E-3</v>
      </c>
      <c r="P17" s="72">
        <f>ABS(O17*'Assumed Values'!$C$7)</f>
        <v>9.0798144867049082</v>
      </c>
      <c r="Q17" s="73">
        <f t="shared" si="1"/>
        <v>3.7678002054058477</v>
      </c>
      <c r="T17" s="85">
        <f t="shared" si="5"/>
        <v>2.0710058415172428E-2</v>
      </c>
      <c r="U17" s="86">
        <f>T17*'Assumed Values'!$D$8</f>
        <v>0</v>
      </c>
    </row>
    <row r="18" spans="2:21" x14ac:dyDescent="0.25">
      <c r="F18" s="70">
        <f t="shared" si="2"/>
        <v>2032</v>
      </c>
      <c r="G18" s="80">
        <f t="shared" si="6"/>
        <v>18964.811252197418</v>
      </c>
      <c r="H18" s="79">
        <f t="shared" si="8"/>
        <v>2.3643702146119772E-2</v>
      </c>
      <c r="I18" s="70">
        <f>IF(AND(F18&gt;='Inputs &amp; Outputs'!B$13,F18&lt;'Inputs &amp; Outputs'!B$13+'Inputs &amp; Outputs'!B$19),1,0)</f>
        <v>1</v>
      </c>
      <c r="J18" s="71">
        <f>I18*'Inputs &amp; Outputs'!B$16*'Benefit Calculations'!G18*('Benefit Calculations'!C$4-'Benefit Calculations'!C$5)</f>
        <v>81.537387952959648</v>
      </c>
      <c r="K18" s="89">
        <f t="shared" si="3"/>
        <v>2.3368711163082138E-2</v>
      </c>
      <c r="L18" s="72">
        <f>K18*'Assumed Values'!$C$8</f>
        <v>175.45228341242068</v>
      </c>
      <c r="M18" s="73">
        <f t="shared" si="0"/>
        <v>68.043420483194751</v>
      </c>
      <c r="N18" s="88">
        <f>I18*'Inputs &amp; Outputs'!B$16*'Benefit Calculations'!G18*('Benefit Calculations'!D$4-'Benefit Calculations'!D$5)</f>
        <v>17.023656523016065</v>
      </c>
      <c r="O18" s="89">
        <f t="shared" si="4"/>
        <v>4.8789999558900695E-3</v>
      </c>
      <c r="P18" s="72">
        <f>ABS(O18*'Assumed Values'!$C$7)</f>
        <v>9.2944949159705832</v>
      </c>
      <c r="Q18" s="73">
        <f t="shared" si="1"/>
        <v>3.6045653749612647</v>
      </c>
      <c r="T18" s="85">
        <f t="shared" si="5"/>
        <v>2.1199720867769507E-2</v>
      </c>
      <c r="U18" s="86">
        <f>T18*'Assumed Values'!$D$8</f>
        <v>0</v>
      </c>
    </row>
    <row r="19" spans="2:21" x14ac:dyDescent="0.25">
      <c r="F19" s="70">
        <f t="shared" si="2"/>
        <v>2033</v>
      </c>
      <c r="G19" s="80">
        <f t="shared" si="6"/>
        <v>19413.209600701754</v>
      </c>
      <c r="H19" s="79">
        <f t="shared" si="8"/>
        <v>2.3643702146119772E-2</v>
      </c>
      <c r="I19" s="70">
        <f>IF(AND(F19&gt;='Inputs &amp; Outputs'!B$13,F19&lt;'Inputs &amp; Outputs'!B$13+'Inputs &amp; Outputs'!B$19),1,0)</f>
        <v>1</v>
      </c>
      <c r="J19" s="71">
        <f>I19*'Inputs &amp; Outputs'!B$16*'Benefit Calculations'!G19*('Benefit Calculations'!C$4-'Benefit Calculations'!C$5)</f>
        <v>83.465233667492043</v>
      </c>
      <c r="K19" s="89">
        <f t="shared" si="3"/>
        <v>2.3921234009360758E-2</v>
      </c>
      <c r="L19" s="72">
        <f>K19*'Assumed Values'!$C$8</f>
        <v>179.60062494228058</v>
      </c>
      <c r="M19" s="73">
        <f t="shared" si="0"/>
        <v>65.095531635609902</v>
      </c>
      <c r="N19" s="88">
        <f>I19*'Inputs &amp; Outputs'!B$16*'Benefit Calculations'!G19*('Benefit Calculations'!D$4-'Benefit Calculations'!D$5)</f>
        <v>17.426158787284106</v>
      </c>
      <c r="O19" s="89">
        <f t="shared" si="4"/>
        <v>4.9943575776180658E-3</v>
      </c>
      <c r="P19" s="72">
        <f>ABS(O19*'Assumed Values'!$C$7)</f>
        <v>9.514251185362415</v>
      </c>
      <c r="Q19" s="73">
        <f t="shared" si="1"/>
        <v>3.4484024720122095</v>
      </c>
      <c r="T19" s="85">
        <f t="shared" si="5"/>
        <v>2.1700960753547931E-2</v>
      </c>
      <c r="U19" s="86">
        <f>T19*'Assumed Values'!$D$8</f>
        <v>0</v>
      </c>
    </row>
    <row r="20" spans="2:21" x14ac:dyDescent="0.25">
      <c r="F20" s="70">
        <f t="shared" si="2"/>
        <v>2034</v>
      </c>
      <c r="G20" s="80">
        <f t="shared" si="6"/>
        <v>19872.209746200937</v>
      </c>
      <c r="H20" s="79">
        <f t="shared" si="8"/>
        <v>2.3643702146119772E-2</v>
      </c>
      <c r="I20" s="70">
        <f>IF(AND(F20&gt;='Inputs &amp; Outputs'!B$13,F20&lt;'Inputs &amp; Outputs'!B$13+'Inputs &amp; Outputs'!B$19),1,0)</f>
        <v>1</v>
      </c>
      <c r="J20" s="71">
        <f>I20*'Inputs &amp; Outputs'!B$16*'Benefit Calculations'!G20*('Benefit Calculations'!C$4-'Benefit Calculations'!C$5)</f>
        <v>85.438660791882498</v>
      </c>
      <c r="K20" s="89">
        <f t="shared" si="3"/>
        <v>2.4486820541245711E-2</v>
      </c>
      <c r="L20" s="72">
        <f>K20*'Assumed Values'!$C$8</f>
        <v>183.8470486236728</v>
      </c>
      <c r="M20" s="73">
        <f t="shared" si="0"/>
        <v>62.275356071631379</v>
      </c>
      <c r="N20" s="88">
        <f>I20*'Inputs &amp; Outputs'!B$16*'Benefit Calculations'!G20*('Benefit Calculations'!D$4-'Benefit Calculations'!D$5)</f>
        <v>17.838177695201637</v>
      </c>
      <c r="O20" s="89">
        <f t="shared" si="4"/>
        <v>5.1124426805944836E-3</v>
      </c>
      <c r="P20" s="72">
        <f>ABS(O20*'Assumed Values'!$C$7)</f>
        <v>9.7392033065324917</v>
      </c>
      <c r="Q20" s="73">
        <f t="shared" si="1"/>
        <v>3.2990051148975796</v>
      </c>
      <c r="T20" s="85">
        <f t="shared" si="5"/>
        <v>2.2214051805889447E-2</v>
      </c>
      <c r="U20" s="86">
        <f>T20*'Assumed Values'!$D$8</f>
        <v>0</v>
      </c>
    </row>
    <row r="21" spans="2:21" x14ac:dyDescent="0.25">
      <c r="F21" s="70">
        <f t="shared" si="2"/>
        <v>2035</v>
      </c>
      <c r="G21" s="80">
        <f t="shared" si="6"/>
        <v>20342.062354425329</v>
      </c>
      <c r="H21" s="79">
        <f t="shared" si="8"/>
        <v>2.3643702146119772E-2</v>
      </c>
      <c r="I21" s="70">
        <f>IF(AND(F21&gt;='Inputs &amp; Outputs'!B$13,F21&lt;'Inputs &amp; Outputs'!B$13+'Inputs &amp; Outputs'!B$19),1,0)</f>
        <v>1</v>
      </c>
      <c r="J21" s="71">
        <f>I21*'Inputs &amp; Outputs'!B$16*'Benefit Calculations'!G21*('Benefit Calculations'!C$4-'Benefit Calculations'!C$5)</f>
        <v>87.458747039409133</v>
      </c>
      <c r="K21" s="89">
        <f t="shared" si="3"/>
        <v>2.5065779632628411E-2</v>
      </c>
      <c r="L21" s="72">
        <f>K21*'Assumed Values'!$C$8</f>
        <v>188.19387348177412</v>
      </c>
      <c r="M21" s="73">
        <f t="shared" si="0"/>
        <v>59.577360786572505</v>
      </c>
      <c r="N21" s="88">
        <f>I21*'Inputs &amp; Outputs'!B$16*'Benefit Calculations'!G21*('Benefit Calculations'!D$4-'Benefit Calculations'!D$5)</f>
        <v>18.259938255456539</v>
      </c>
      <c r="O21" s="89">
        <f t="shared" si="4"/>
        <v>5.2333197525735687E-3</v>
      </c>
      <c r="P21" s="72">
        <f>ABS(O21*'Assumed Values'!$C$7)</f>
        <v>9.9694741286526476</v>
      </c>
      <c r="Q21" s="73">
        <f t="shared" si="1"/>
        <v>3.1560801955259277</v>
      </c>
      <c r="T21" s="85">
        <f t="shared" si="5"/>
        <v>2.2739274230246374E-2</v>
      </c>
      <c r="U21" s="86">
        <f>T21*'Assumed Values'!$D$8</f>
        <v>0</v>
      </c>
    </row>
    <row r="22" spans="2:21" x14ac:dyDescent="0.25">
      <c r="F22" s="70">
        <f t="shared" si="2"/>
        <v>2036</v>
      </c>
      <c r="G22" s="80">
        <f t="shared" si="6"/>
        <v>20823.024017771157</v>
      </c>
      <c r="H22" s="79">
        <f t="shared" si="8"/>
        <v>2.3643702146119772E-2</v>
      </c>
      <c r="I22" s="70">
        <f>IF(AND(F22&gt;='Inputs &amp; Outputs'!B$13,F22&lt;'Inputs &amp; Outputs'!B$13+'Inputs &amp; Outputs'!B$19),1,0)</f>
        <v>1</v>
      </c>
      <c r="J22" s="71">
        <f>I22*'Inputs &amp; Outputs'!B$16*'Benefit Calculations'!G22*('Benefit Calculations'!C$4-'Benefit Calculations'!C$5)</f>
        <v>89.526595604481756</v>
      </c>
      <c r="K22" s="89">
        <f t="shared" si="3"/>
        <v>2.5658427460322555E-2</v>
      </c>
      <c r="L22" s="72">
        <f>K22*'Assumed Values'!$C$8</f>
        <v>192.64347337210174</v>
      </c>
      <c r="M22" s="73">
        <f t="shared" si="0"/>
        <v>56.996252485665551</v>
      </c>
      <c r="N22" s="88">
        <f>I22*'Inputs &amp; Outputs'!B$16*'Benefit Calculations'!G22*('Benefit Calculations'!D$4-'Benefit Calculations'!D$5)</f>
        <v>18.691670796775092</v>
      </c>
      <c r="O22" s="89">
        <f t="shared" si="4"/>
        <v>5.3570548060388233E-3</v>
      </c>
      <c r="P22" s="72">
        <f>ABS(O22*'Assumed Values'!$C$7)</f>
        <v>10.205189405503958</v>
      </c>
      <c r="Q22" s="73">
        <f t="shared" si="1"/>
        <v>3.0193473043160841</v>
      </c>
      <c r="T22" s="85">
        <f t="shared" si="5"/>
        <v>2.3276914857165255E-2</v>
      </c>
      <c r="U22" s="86">
        <f>T22*'Assumed Values'!$D$8</f>
        <v>0</v>
      </c>
    </row>
    <row r="23" spans="2:21" x14ac:dyDescent="0.25">
      <c r="F23" s="70">
        <f t="shared" si="2"/>
        <v>2037</v>
      </c>
      <c r="G23" s="80">
        <f t="shared" si="6"/>
        <v>21315.357395428837</v>
      </c>
      <c r="H23" s="79">
        <f t="shared" si="8"/>
        <v>2.3643702146119772E-2</v>
      </c>
      <c r="I23" s="70">
        <f>IF(AND(F23&gt;='Inputs &amp; Outputs'!B$13,F23&lt;'Inputs &amp; Outputs'!B$13+'Inputs &amp; Outputs'!B$19),1,0)</f>
        <v>1</v>
      </c>
      <c r="J23" s="71">
        <f>I23*'Inputs &amp; Outputs'!B$16*'Benefit Calculations'!G23*('Benefit Calculations'!C$4-'Benefit Calculations'!C$5)</f>
        <v>91.643335765110223</v>
      </c>
      <c r="K23" s="89">
        <f t="shared" si="3"/>
        <v>2.6265087676732236E-2</v>
      </c>
      <c r="L23" s="72">
        <f>K23*'Assumed Values'!$C$8</f>
        <v>197.19827827690563</v>
      </c>
      <c r="M23" s="73">
        <f t="shared" si="0"/>
        <v>54.526967198954814</v>
      </c>
      <c r="N23" s="88">
        <f>I23*'Inputs &amp; Outputs'!B$16*'Benefit Calculations'!G23*('Benefit Calculations'!D$4-'Benefit Calculations'!D$5)</f>
        <v>19.133611093707366</v>
      </c>
      <c r="O23" s="89">
        <f t="shared" si="4"/>
        <v>5.4837154142532438E-3</v>
      </c>
      <c r="P23" s="72">
        <f>ABS(O23*'Assumed Values'!$C$7)</f>
        <v>10.446477864152429</v>
      </c>
      <c r="Q23" s="73">
        <f t="shared" si="1"/>
        <v>2.8885381800514232</v>
      </c>
      <c r="T23" s="85">
        <f t="shared" si="5"/>
        <v>2.3827267298928659E-2</v>
      </c>
      <c r="U23" s="86">
        <f>T23*'Assumed Values'!$D$8</f>
        <v>0</v>
      </c>
    </row>
    <row r="24" spans="2:21" x14ac:dyDescent="0.25">
      <c r="F24" s="70">
        <f t="shared" si="2"/>
        <v>2038</v>
      </c>
      <c r="G24" s="80">
        <f t="shared" si="6"/>
        <v>21819.331356824448</v>
      </c>
      <c r="H24" s="79">
        <f t="shared" si="8"/>
        <v>2.3643702146119772E-2</v>
      </c>
      <c r="I24" s="70">
        <f>IF(AND(F24&gt;='Inputs &amp; Outputs'!B$13,F24&lt;'Inputs &amp; Outputs'!B$13+'Inputs &amp; Outputs'!B$19),1,0)</f>
        <v>1</v>
      </c>
      <c r="J24" s="71">
        <f>I24*'Inputs &amp; Outputs'!B$16*'Benefit Calculations'!G24*('Benefit Calculations'!C$4-'Benefit Calculations'!C$5)</f>
        <v>93.810123499617347</v>
      </c>
      <c r="K24" s="89">
        <f t="shared" si="3"/>
        <v>2.6886091586602618E-2</v>
      </c>
      <c r="L24" s="72">
        <f>K24*'Assumed Values'!$C$8</f>
        <v>201.86077563221247</v>
      </c>
      <c r="M24" s="73">
        <f t="shared" si="0"/>
        <v>52.164660346110431</v>
      </c>
      <c r="N24" s="88">
        <f>I24*'Inputs &amp; Outputs'!B$16*'Benefit Calculations'!G24*('Benefit Calculations'!D$4-'Benefit Calculations'!D$5)</f>
        <v>19.586000495386678</v>
      </c>
      <c r="O24" s="89">
        <f t="shared" si="4"/>
        <v>5.6133707481619347E-3</v>
      </c>
      <c r="P24" s="72">
        <f>ABS(O24*'Assumed Values'!$C$7)</f>
        <v>10.693471275248486</v>
      </c>
      <c r="Q24" s="73">
        <f t="shared" si="1"/>
        <v>2.7633961835684624</v>
      </c>
      <c r="T24" s="85">
        <f t="shared" si="5"/>
        <v>2.4390632109900511E-2</v>
      </c>
      <c r="U24" s="86">
        <f>T24*'Assumed Values'!$D$8</f>
        <v>0</v>
      </c>
    </row>
    <row r="25" spans="2:21" x14ac:dyDescent="0.25">
      <c r="F25" s="70">
        <f t="shared" si="2"/>
        <v>2039</v>
      </c>
      <c r="G25" s="80">
        <f t="shared" si="6"/>
        <v>22335.221128452697</v>
      </c>
      <c r="H25" s="79">
        <f t="shared" si="8"/>
        <v>2.3643702146119772E-2</v>
      </c>
      <c r="I25" s="70">
        <f>IF(AND(F25&gt;='Inputs &amp; Outputs'!B$13,F25&lt;'Inputs &amp; Outputs'!B$13+'Inputs &amp; Outputs'!B$19),1,0)</f>
        <v>1</v>
      </c>
      <c r="J25" s="71">
        <f>I25*'Inputs &amp; Outputs'!B$16*'Benefit Calculations'!G25*('Benefit Calculations'!C$4-'Benefit Calculations'!C$5)</f>
        <v>96.028142117933015</v>
      </c>
      <c r="K25" s="89">
        <f t="shared" si="3"/>
        <v>2.752177832794955E-2</v>
      </c>
      <c r="L25" s="72">
        <f>K25*'Assumed Values'!$C$8</f>
        <v>206.63351168624521</v>
      </c>
      <c r="M25" s="73">
        <f t="shared" si="0"/>
        <v>49.90469723167044</v>
      </c>
      <c r="N25" s="88">
        <f>I25*'Inputs &amp; Outputs'!B$16*'Benefit Calculations'!G25*('Benefit Calculations'!D$4-'Benefit Calculations'!D$5)</f>
        <v>20.049086057333358</v>
      </c>
      <c r="O25" s="89">
        <f t="shared" si="4"/>
        <v>5.746091614167218E-3</v>
      </c>
      <c r="P25" s="72">
        <f>ABS(O25*'Assumed Values'!$C$7)</f>
        <v>10.94630452498855</v>
      </c>
      <c r="Q25" s="73">
        <f t="shared" si="1"/>
        <v>2.6436757942471774</v>
      </c>
      <c r="T25" s="85">
        <f t="shared" si="5"/>
        <v>2.4967316950662587E-2</v>
      </c>
      <c r="U25" s="86">
        <f>T25*'Assumed Values'!$D$8</f>
        <v>0</v>
      </c>
    </row>
    <row r="26" spans="2:21" x14ac:dyDescent="0.25">
      <c r="F26" s="70">
        <f t="shared" si="2"/>
        <v>2040</v>
      </c>
      <c r="G26" s="80">
        <f t="shared" si="6"/>
        <v>22863.308444181552</v>
      </c>
      <c r="H26" s="79">
        <f t="shared" si="8"/>
        <v>2.3643702146119772E-2</v>
      </c>
      <c r="I26" s="70">
        <f>IF(AND(F26&gt;='Inputs &amp; Outputs'!B$13,F26&lt;'Inputs &amp; Outputs'!B$13+'Inputs &amp; Outputs'!B$19),1,0)</f>
        <v>1</v>
      </c>
      <c r="J26" s="71">
        <f>I26*'Inputs &amp; Outputs'!B$16*'Benefit Calculations'!G26*('Benefit Calculations'!C$4-'Benefit Calculations'!C$5)</f>
        <v>98.298602907814669</v>
      </c>
      <c r="K26" s="89">
        <f t="shared" si="3"/>
        <v>2.817249505726712E-2</v>
      </c>
      <c r="L26" s="72">
        <f>K26*'Assumed Values'!$C$8</f>
        <v>211.51909288996154</v>
      </c>
      <c r="M26" s="73">
        <f t="shared" si="0"/>
        <v>47.742643952063872</v>
      </c>
      <c r="N26" s="88">
        <f>I26*'Inputs &amp; Outputs'!B$16*'Benefit Calculations'!G26*('Benefit Calculations'!D$4-'Benefit Calculations'!D$5)</f>
        <v>20.523120676374869</v>
      </c>
      <c r="O26" s="89">
        <f t="shared" si="4"/>
        <v>5.8819504927969035E-3</v>
      </c>
      <c r="P26" s="72">
        <f>ABS(O26*'Assumed Values'!$C$7)</f>
        <v>11.2051156887781</v>
      </c>
      <c r="Q26" s="73">
        <f t="shared" si="1"/>
        <v>2.5291421283151996</v>
      </c>
      <c r="T26" s="85">
        <f t="shared" si="5"/>
        <v>2.5557636756031815E-2</v>
      </c>
      <c r="U26" s="86">
        <f>T26*'Assumed Values'!$D$8</f>
        <v>0</v>
      </c>
    </row>
    <row r="27" spans="2:21" x14ac:dyDescent="0.25">
      <c r="F27" s="70">
        <f t="shared" si="2"/>
        <v>2041</v>
      </c>
      <c r="G27" s="80">
        <f t="shared" si="6"/>
        <v>23403.881699110647</v>
      </c>
      <c r="H27" s="79">
        <f t="shared" si="8"/>
        <v>2.3643702146119772E-2</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23957.236107067441</v>
      </c>
      <c r="H28" s="79">
        <f t="shared" si="8"/>
        <v>2.3643702146119772E-2</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24523.67386182721</v>
      </c>
      <c r="H29" s="79">
        <f t="shared" si="8"/>
        <v>2.3643702146119772E-2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25103.504302144836</v>
      </c>
      <c r="H30" s="79">
        <f t="shared" si="8"/>
        <v>2.3643702146119772E-2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28882</v>
      </c>
      <c r="H31" s="79">
        <f t="shared" si="8"/>
        <v>2.3643702146119772E-2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29564.877405384232</v>
      </c>
      <c r="H32" s="79">
        <f t="shared" si="8"/>
        <v>2.3643702146119772E-2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30263.900560743681</v>
      </c>
      <c r="H33" s="79">
        <f t="shared" si="8"/>
        <v>2.3643702146119772E-2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30979.451211381693</v>
      </c>
      <c r="H34" s="79">
        <f t="shared" si="8"/>
        <v>2.3643702146119772E-2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31711.920128473852</v>
      </c>
      <c r="H35" s="79">
        <f t="shared" si="8"/>
        <v>2.3643702146119772E-2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32461.707322473027</v>
      </c>
      <c r="H36" s="79">
        <f t="shared" si="8"/>
        <v>2.3643702146119772E-2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1685.9782685270666</v>
      </c>
      <c r="K37" s="71">
        <f t="shared" ref="K37:Q37" si="9">SUM(K4:K36)</f>
        <v>0.48320335215021132</v>
      </c>
      <c r="L37" s="74">
        <f t="shared" si="9"/>
        <v>3627.8907679437862</v>
      </c>
      <c r="M37" s="75">
        <f t="shared" si="9"/>
        <v>1662.390125111594</v>
      </c>
      <c r="N37" s="88">
        <f t="shared" si="9"/>
        <v>352.00434634026459</v>
      </c>
      <c r="O37" s="88">
        <f t="shared" si="9"/>
        <v>0.1008848591338348</v>
      </c>
      <c r="P37" s="76">
        <f t="shared" si="9"/>
        <v>192.18565664995535</v>
      </c>
      <c r="Q37" s="75">
        <f t="shared" si="9"/>
        <v>88.064266053978258</v>
      </c>
      <c r="T37" s="85">
        <f>SUM(T4:T36)</f>
        <v>0.43835434981703725</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2018-10-30T23:39:06Z</dcterms:modified>
</cp:coreProperties>
</file>