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R:\1003300-1004999\1004170.00\04_DOCUMENTS\TIP APPLICATION\04_Benefit Cost Analysis\"/>
    </mc:Choice>
  </mc:AlternateContent>
  <xr:revisionPtr revIDLastSave="0" documentId="13_ncr:1_{87573F0D-C0FE-4205-81CE-6DAD79D64084}" xr6:coauthVersionLast="38" xr6:coauthVersionMax="38" xr10:uidLastSave="{00000000-0000-0000-0000-000000000000}"/>
  <bookViews>
    <workbookView xWindow="0" yWindow="0" windowWidth="38400" windowHeight="17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<sst xmlns="http://schemas.openxmlformats.org/spreadsheetml/2006/main" count="291" uniqueCount="236">
  <si>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</si>
  <si>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</si>
  <si>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</si>
  <si>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</si>
  <si>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</si>
  <si>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</si>
  <si>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</si>
  <si>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</si>
  <si>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</si>
  <si>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</si>
  <si>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</si>
  <si>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</si>
  <si>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</si>
  <si>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</si>
  <si>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</si>
  <si>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</si>
  <si>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</si>
  <si>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</si>
  <si>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</si>
  <si>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</si>
  <si>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</si>
  <si>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</si>
  <si>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</si>
  <si>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</si>
  <si>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</si>
  <si>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</si>
  <si>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</si>
  <si>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</si>
  <si>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</si>
  <si>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</si>
  <si>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</si>
  <si>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</si>
  <si>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</si>
  <si>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</si>
  <si>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</si>
  <si>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</si>
  <si>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</si>
  <si>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</si>
  <si>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</si>
  <si>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</si>
  <si>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</si>
  <si>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</si>
  <si>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</si>
  <si>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</si>
  <si>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</si>
  <si>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</si>
  <si>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</si>
  <si>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</si>
  <si>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</si>
  <si>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</si>
  <si>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</si>
  <si>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</si>
  <si>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</si>
  <si>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</si>
  <si>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</si>
  <si>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</si>
  <si>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</si>
  <si>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</si>
  <si>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</si>
  <si>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</si>
  <si>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</si>
  <si>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</si>
  <si>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</si>
  <si>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</si>
  <si>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</si>
  <si>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</si>
  <si>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</si>
  <si>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</si>
  <si>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</si>
  <si>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</si>
  <si>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</si>
  <si>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</si>
  <si>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</si>
  <si>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</si>
  <si>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</si>
  <si>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</si>
  <si>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</si>
  <si>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</si>
  <si>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</si>
  <si>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</si>
  <si>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</si>
  <si>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</si>
  <si>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</si>
  <si>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</si>
  <si>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</si>
  <si>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</si>
  <si>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</si>
  <si>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</si>
  <si>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</si>
  <si>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</si>
  <si>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</si>
  <si>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</si>
  <si>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</si>
  <si>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</si>
  <si>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</si>
  <si>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</si>
  <si>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</si>
  <si>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</si>
  <si>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</si>
  <si>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</si>
  <si>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</si>
  <si>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</si>
  <si>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</si>
  <si>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</si>
  <si>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</si>
  <si>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</si>
  <si>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</si>
  <si>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</si>
  <si>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</si>
  <si>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</si>
  <si>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</si>
  <si>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</si>
  <si>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</si>
  <si>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</si>
  <si>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</si>
  <si>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</si>
  <si>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</si>
  <si>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</si>
  <si>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</si>
  <si>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</si>
  <si>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</si>
  <si>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</si>
  <si>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</si>
  <si>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</si>
  <si>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</si>
  <si>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</si>
  <si>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</si>
  <si>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</si>
  <si>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</si>
  <si>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</si>
  <si>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</si>
  <si>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</si>
  <si>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</si>
  <si>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</si>
  <si>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</si>
  <si>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</si>
  <si>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</si>
  <si>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</si>
  <si>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</si>
  <si>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</si>
  <si>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</si>
  <si>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</si>
  <si>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</si>
  <si>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</si>
  <si>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</si>
  <si>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</si>
  <si>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</si>
  <si>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</si>
  <si>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</si>
  <si>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</si>
  <si>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</si>
  <si>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</si>
  <si>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</si>
  <si>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</si>
  <si>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</si>
  <si>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</si>
  <si>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</si>
  <si>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</si>
  <si>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</si>
  <si>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</si>
  <si>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</si>
  <si>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</si>
  <si>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</si>
  <si>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</si>
  <si>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</si>
  <si>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</si>
  <si>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</si>
  <si>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</si>
  <si>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</si>
  <si>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</si>
  <si>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</si>
  <si>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</si>
  <si>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</si>
  <si>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</si>
  <si>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</si>
  <si>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</si>
  <si>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</si>
  <si>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</si>
  <si>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</si>
  <si>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</si>
  <si>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</si>
  <si>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</si>
  <si>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</si>
  <si>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</si>
  <si>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</si>
  <si>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</si>
  <si>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</si>
  <si>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</si>
  <si>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</si>
  <si>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</si>
  <si>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</si>
  <si>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</si>
  <si>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</si>
  <si>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</si>
  <si>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</si>
  <si>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</si>
  <si>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</si>
  <si>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</si>
  <si>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</si>
  <si>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</si>
  <si>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</si>
  <si>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</si>
  <si>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</si>
  <si>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</si>
  <si>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</si>
  <si>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</si>
  <si>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</si>
  <si>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</si>
  <si>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</si>
  <si>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</si>
  <si>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</si>
  <si>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</si>
  <si>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</si>
  <si>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</si>
  <si>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</si>
  <si>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</si>
  <si>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</si>
  <si>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</si>
  <si>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</si>
  <si>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</si>
  <si>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</si>
  <si>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</si>
  <si>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</si>
  <si>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</si>
  <si>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</si>
  <si>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</si>
  <si>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</si>
  <si>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</si>
  <si>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</si>
  <si>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</si>
  <si>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</si>
  <si>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</si>
  <si>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</si>
  <si>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Gulf Bank Road</t>
  </si>
  <si>
    <t>IH-45</t>
  </si>
  <si>
    <t>Hardy Toll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</si>
</sst>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2.2999999999999998</v>
      </c>
    </row>
    <row r="13" spans="1:7" x14ac:dyDescent="0.25">
      <c r="A13" s="8" t="s">
        <v>68</v>
      </c>
      <c r="B13" s="138">
        <v>161</v>
      </c>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8.8461538461538453E-2</v>
      </c>
    </row>
    <row r="19" spans="1:7" ht="30" x14ac:dyDescent="0.25">
      <c r="A19" s="8" t="s">
        <v>121</v>
      </c>
      <c r="B19" s="140" t="s">
        <v>128</v>
      </c>
      <c r="E19" s="107" t="s">
        <v>212</v>
      </c>
      <c r="F19" s="146">
        <f>$B$12/$B$33</f>
        <v>0.10952380952380951</v>
      </c>
    </row>
    <row r="20" spans="1:7" ht="30" x14ac:dyDescent="0.25">
      <c r="A20" s="135" t="s">
        <v>208</v>
      </c>
      <c r="B20" s="136">
        <f>VLOOKUP(B19,'Delay Reduction Factors'!B4:C80,2, FALSE)</f>
        <v>0.4</v>
      </c>
      <c r="E20" s="107" t="s">
        <v>209</v>
      </c>
      <c r="F20" s="145">
        <f>$F$19-$F$18</f>
        <v>2.1062271062271057E-2</v>
      </c>
    </row>
    <row r="21" spans="1:7" x14ac:dyDescent="0.25">
      <c r="A21" s="8" t="s">
        <v>104</v>
      </c>
      <c r="B21" s="79">
        <v>20</v>
      </c>
      <c r="D21" s="121"/>
      <c r="E21" s="105" t="s">
        <v>210</v>
      </c>
      <c r="F21" s="145">
        <f>$F$20*$B$20</f>
        <v>8.4249084249084227E-3</v>
      </c>
      <c r="G21" s="122"/>
    </row>
    <row r="22" spans="1:7" s="113" customFormat="1" x14ac:dyDescent="0.25">
      <c r="D22" s="121"/>
      <c r="E22" s="105" t="s">
        <v>211</v>
      </c>
      <c r="F22" s="145">
        <f>$F$20-$F$21</f>
        <v>1.2637362637362634E-2</v>
      </c>
      <c r="G22" s="122"/>
    </row>
    <row r="23" spans="1:7" x14ac:dyDescent="0.25">
      <c r="E23" s="105" t="s">
        <v>213</v>
      </c>
      <c r="F23" s="145">
        <f>$F$18+$F$22</f>
        <v>0.10109890109890109</v>
      </c>
    </row>
    <row r="24" spans="1:7" x14ac:dyDescent="0.25">
      <c r="A24" s="119" t="s">
        <v>94</v>
      </c>
      <c r="B24" s="123"/>
      <c r="D24" s="121"/>
      <c r="G24" s="124"/>
    </row>
    <row r="25" spans="1:7" x14ac:dyDescent="0.25">
      <c r="A25" s="8" t="s">
        <v>218</v>
      </c>
      <c r="B25" s="141">
        <v>14607</v>
      </c>
      <c r="D25" s="121"/>
      <c r="G25" s="124"/>
    </row>
    <row r="28" spans="1:7" x14ac:dyDescent="0.25">
      <c r="A28" s="105" t="s">
        <v>227</v>
      </c>
      <c r="B28" s="134">
        <f>IF(FacilityType='Delay Reduction Factors'!N5,'Inputs &amp; Outputs'!B25*45%, B25*43%)</f>
        <v>6281.01</v>
      </c>
      <c r="D28" s="121"/>
      <c r="E28" s="125" t="s">
        <v>95</v>
      </c>
      <c r="F28" s="126" t="s">
        <v>20</v>
      </c>
      <c r="G28" s="127" t="s">
        <v>19</v>
      </c>
    </row>
    <row r="29" spans="1:7" x14ac:dyDescent="0.25">
      <c r="A29" s="105" t="s">
        <v>228</v>
      </c>
      <c r="B29" s="115">
        <f>VLOOKUP(Year_Open_to_Traffic?,Calculations!H4:I36,2)</f>
        <v>8341</v>
      </c>
      <c r="D29" s="121"/>
      <c r="E29" s="107" t="s">
        <v>122</v>
      </c>
      <c r="F29" s="101">
        <f>$B$29*$F$23</f>
        <v>843.26593406593395</v>
      </c>
      <c r="G29" s="102">
        <f>$B$29*$F$19</f>
        <v>913.53809523809514</v>
      </c>
    </row>
    <row r="30" spans="1:7" x14ac:dyDescent="0.25">
      <c r="A30" s="124"/>
      <c r="B30" s="100"/>
      <c r="D30" s="121"/>
    </row>
    <row r="32" spans="1:7" x14ac:dyDescent="0.25">
      <c r="A32" s="128" t="s">
        <v>221</v>
      </c>
      <c r="B32" s="142">
        <v>26</v>
      </c>
      <c r="D32" s="121"/>
    </row>
    <row r="33" spans="1:7" ht="30" x14ac:dyDescent="0.25">
      <c r="A33" s="129" t="s">
        <v>222</v>
      </c>
      <c r="B33" s="143">
        <v>21</v>
      </c>
      <c r="D33" s="121"/>
      <c r="E33" s="121"/>
      <c r="F33" s="130"/>
      <c r="G33" s="117"/>
    </row>
    <row r="34" spans="1:7" x14ac:dyDescent="0.25">
      <c r="A34" s="131"/>
      <c r="B34" s="144"/>
      <c r="E34" s="117"/>
      <c r="F34" s="130"/>
      <c r="G34" s="130"/>
    </row>
    <row r="35" spans="1:7" x14ac:dyDescent="0.25">
      <c r="A35" s="105" t="s">
        <v>223</v>
      </c>
      <c r="B35" s="148">
        <f>$B$28</f>
        <v>6281.01</v>
      </c>
    </row>
    <row r="36" spans="1:7" x14ac:dyDescent="0.25">
      <c r="A36" s="128" t="s">
        <v>224</v>
      </c>
      <c r="B36" s="142">
        <v>11872</v>
      </c>
    </row>
    <row r="37" spans="1:7" x14ac:dyDescent="0.25">
      <c r="A37" s="128" t="s">
        <v>229</v>
      </c>
      <c r="B37" s="142">
        <v>8341</v>
      </c>
    </row>
    <row r="38" spans="1:7" x14ac:dyDescent="0.25">
      <c r="A38" s="128" t="s">
        <v>225</v>
      </c>
      <c r="B38" s="142">
        <v>23100</v>
      </c>
    </row>
    <row r="39" spans="1:7" x14ac:dyDescent="0.25">
      <c r="A39" s="128" t="s">
        <v>230</v>
      </c>
      <c r="B39" s="142">
        <v>16355</v>
      </c>
    </row>
    <row r="40" spans="1:7" x14ac:dyDescent="0.25">
      <c r="A40" s="128" t="s">
        <v>226</v>
      </c>
      <c r="B40" s="142">
        <v>23100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5921.2085378444763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219249.14285714284</v>
      </c>
      <c r="F4" s="22">
        <f>'Inputs &amp; Outputs'!G29*Annual_Days_of_Travel</f>
        <v>237519.90476190473</v>
      </c>
      <c r="H4" s="59">
        <v>2018</v>
      </c>
      <c r="I4" s="60">
        <f>'Inputs &amp; Outputs'!B28</f>
        <v>6281.01</v>
      </c>
      <c r="J4" s="60">
        <f>IF(H4=Year_Open_to_Traffic?,$F$4,0)</f>
        <v>0</v>
      </c>
      <c r="K4" s="60">
        <f>IF(H4=Year_Open_to_Traffic?,Calculations!$E$4,0)</f>
        <v>0</v>
      </c>
      <c r="L4" s="60">
        <f>IF(AND(H4&gt;=Year_Open_to_Traffic?, Calculations!H4&lt;Year_Open_to_Traffic?+'Inputs &amp; Outputs'!B$21), 1, 0)</f>
        <v>0</v>
      </c>
      <c r="M4" s="81" t="s">
        <v>75</v>
      </c>
      <c r="N4" s="82">
        <f>MIN(E8,1)</f>
        <v>0.52906081536388139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4.135396897401078E-2</v>
      </c>
      <c r="F5" s="28"/>
      <c r="H5" s="15">
        <f t="shared" ref="H5:H36" si="3">H4+1</f>
        <v>2019</v>
      </c>
      <c r="I5" s="97">
        <f>(I4*M5)+I4</f>
        <v>6540.7546926654513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4.135396897401078E-2</v>
      </c>
      <c r="N5" s="87">
        <f t="shared" ref="N5:N11" si="6">N4*(1+IFERROR(_2018_2025_V_C_Growth,_2018_2045_V_C_Growth))</f>
        <v>0.50096302727140463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3.4240692854217381E-2</v>
      </c>
      <c r="F6" s="28"/>
      <c r="H6" s="59">
        <f t="shared" si="3"/>
        <v>2020</v>
      </c>
      <c r="I6" s="97">
        <f t="shared" ref="I6:I36" si="10">(I5*M6)+I5</f>
        <v>6811.240859292554</v>
      </c>
      <c r="J6" s="60">
        <f t="shared" si="4"/>
        <v>0</v>
      </c>
      <c r="K6" s="60">
        <f>IF(H6=Year_Open_to_Traffic?,Calculations!$E$4,K5+(K5*M6))</f>
        <v>0</v>
      </c>
      <c r="L6" s="60">
        <f>IF(AND(H6&gt;=Year_Open_to_Traffic?, Calculations!H6&lt;Year_Open_to_Traffic?+'Inputs &amp; Outputs'!B$21), 1, 0)</f>
        <v>0</v>
      </c>
      <c r="M6" s="81">
        <f t="shared" si="5"/>
        <v>4.135396897401078E-2</v>
      </c>
      <c r="N6" s="87">
        <f t="shared" si="6"/>
        <v>0.47435747914976512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3.6080196479925331E-2</v>
      </c>
      <c r="F7" s="28"/>
      <c r="H7" s="15">
        <f t="shared" si="3"/>
        <v>2021</v>
      </c>
      <c r="I7" s="97">
        <f t="shared" si="10"/>
        <v>7092.912702462253</v>
      </c>
      <c r="J7" s="60">
        <f t="shared" si="4"/>
        <v>0</v>
      </c>
      <c r="K7" s="60">
        <f>IF(H7=Year_Open_to_Traffic?,Calculations!$E$4,K6+(K6*M7))</f>
        <v>0</v>
      </c>
      <c r="L7" s="60">
        <f>IF(AND(H7&gt;=Year_Open_to_Traffic?, Calculations!H7&lt;Year_Open_to_Traffic?+'Inputs &amp; Outputs'!B$21), 1, 0)</f>
        <v>0</v>
      </c>
      <c r="M7" s="81">
        <f t="shared" si="5"/>
        <v>4.135396897401078E-2</v>
      </c>
      <c r="N7" s="87">
        <f t="shared" si="6"/>
        <v>0.44916491991616464</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0.52906081536388139</v>
      </c>
      <c r="F8" s="28"/>
      <c r="H8" s="59">
        <f t="shared" si="3"/>
        <v>2022</v>
      </c>
      <c r="I8" s="97">
        <f t="shared" si="10"/>
        <v>7386.2327942952443</v>
      </c>
      <c r="J8" s="60">
        <f t="shared" si="4"/>
        <v>0</v>
      </c>
      <c r="K8" s="60">
        <f>IF(H8=Year_Open_to_Traffic?,Calculations!$E$4,K7+(K7*M8))</f>
        <v>0</v>
      </c>
      <c r="L8" s="60">
        <f>IF(AND(H8&gt;=Year_Open_to_Traffic?, Calculations!H8&lt;Year_Open_to_Traffic?+'Inputs &amp; Outputs'!B$21), 1, 0)</f>
        <v>0</v>
      </c>
      <c r="M8" s="81">
        <f t="shared" si="5"/>
        <v>4.135396897401078E-2</v>
      </c>
      <c r="N8" s="87">
        <f t="shared" si="6"/>
        <v>0.42531030741816961</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0.36108225108225106</v>
      </c>
      <c r="F9" s="28"/>
      <c r="H9" s="15">
        <f t="shared" si="3"/>
        <v>2023</v>
      </c>
      <c r="I9" s="97">
        <f t="shared" si="10"/>
        <v>7691.6828361053504</v>
      </c>
      <c r="J9" s="60">
        <f t="shared" si="4"/>
        <v>0</v>
      </c>
      <c r="K9" s="60">
        <f>IF(H9=Year_Open_to_Traffic?,Calculations!$E$4,K8+(K8*M9))</f>
        <v>0</v>
      </c>
      <c r="L9" s="60">
        <f>IF(AND(H9&gt;=Year_Open_to_Traffic?, Calculations!H9&lt;Year_Open_to_Traffic?+'Inputs &amp; Outputs'!B$21), 1, 0)</f>
        <v>0</v>
      </c>
      <c r="M9" s="81">
        <f t="shared" si="5"/>
        <v>4.135396897401078E-2</v>
      </c>
      <c r="N9" s="87">
        <f t="shared" si="6"/>
        <v>0.40272258490244595</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0.70800865800865798</v>
      </c>
      <c r="F10" s="28"/>
      <c r="H10" s="59">
        <f t="shared" si="3"/>
        <v>2024</v>
      </c>
      <c r="I10" s="97">
        <f t="shared" si="10"/>
        <v>8009.7644494675824</v>
      </c>
      <c r="J10" s="60">
        <f t="shared" si="4"/>
        <v>0</v>
      </c>
      <c r="K10" s="60">
        <f>IF(H10=Year_Open_to_Traffic?,Calculations!$E$4,K9+(K9*M10))</f>
        <v>0</v>
      </c>
      <c r="L10" s="60">
        <f>IF(AND(H10&gt;=Year_Open_to_Traffic?, Calculations!H10&lt;Year_Open_to_Traffic?+'Inputs &amp; Outputs'!B$21), 1, 0)</f>
        <v>0</v>
      </c>
      <c r="M10" s="81">
        <f t="shared" si="5"/>
        <v>4.135396897401078E-2</v>
      </c>
      <c r="N10" s="87">
        <f t="shared" si="6"/>
        <v>0.38133446935497217</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-5.3108805786630464E-2</v>
      </c>
      <c r="F11" s="28"/>
      <c r="H11" s="15">
        <f t="shared" si="3"/>
        <v>2025</v>
      </c>
      <c r="I11" s="97">
        <f t="shared" si="10"/>
        <v>8341</v>
      </c>
      <c r="J11" s="60">
        <f t="shared" si="4"/>
        <v>237519.90476190473</v>
      </c>
      <c r="K11" s="60">
        <f>IF(H11=Year_Open_to_Traffic?,Calculations!$E$4,K10+(K10*M11))</f>
        <v>219249.14285714284</v>
      </c>
      <c r="L11" s="60">
        <f>IF(AND(H11&gt;=Year_Open_to_Traffic?, Calculations!H11&lt;Year_Open_to_Traffic?+'Inputs &amp; Outputs'!B$21), 1, 0)</f>
        <v>1</v>
      </c>
      <c r="M11" s="81">
        <f t="shared" si="5"/>
        <v>4.135396897401078E-2</v>
      </c>
      <c r="N11" s="87">
        <f t="shared" si="6"/>
        <v>0.36108225108225117</v>
      </c>
      <c r="O11" s="88">
        <f t="shared" si="7"/>
        <v>1</v>
      </c>
      <c r="P11" s="84">
        <f t="shared" si="8"/>
        <v>18270.761904761894</v>
      </c>
      <c r="Q11" s="85">
        <f t="shared" si="0"/>
        <v>1</v>
      </c>
      <c r="R11" s="86">
        <f t="shared" si="1"/>
        <v>20.787565583925574</v>
      </c>
      <c r="S11" s="94">
        <f t="shared" si="2"/>
        <v>527.92847929530217</v>
      </c>
      <c r="T11" s="80">
        <f t="shared" si="9"/>
        <v>328.76732421467415</v>
      </c>
      <c r="W11" s="73"/>
    </row>
    <row r="12" spans="1:24" x14ac:dyDescent="0.25">
      <c r="A12" s="18" t="s">
        <v>205</v>
      </c>
      <c r="B12" s="19">
        <v>0.45</v>
      </c>
      <c r="D12" s="18" t="s">
        <v>83</v>
      </c>
      <c r="E12" s="46">
        <f>(E10/E9)^(1/(2045-2025))-1</f>
        <v>3.4240692854217381E-2</v>
      </c>
      <c r="F12" s="28"/>
      <c r="H12" s="59">
        <v>2026</v>
      </c>
      <c r="I12" s="97">
        <f t="shared" si="10"/>
        <v>8626.6016190970277</v>
      </c>
      <c r="J12" s="60">
        <f t="shared" si="4"/>
        <v>245652.75086762008</v>
      </c>
      <c r="K12" s="60">
        <f>IF(H12=Year_Open_to_Traffic?,Calculations!$E$4,K11+(K11*M12))</f>
        <v>226756.3854162647</v>
      </c>
      <c r="L12" s="60">
        <f>IF(AND(H12&gt;=Year_Open_to_Traffic?, Calculations!H12&lt;Year_Open_to_Traffic?+'Inputs &amp; Outputs'!B$21), 1, 0)</f>
        <v>1</v>
      </c>
      <c r="M12" s="81">
        <f t="shared" ref="M12:M36" si="11">IFERROR(_2025_2045_Demand_Growth,_2018_2045_Demand_Growth)</f>
        <v>3.4240692854217381E-2</v>
      </c>
      <c r="N12" s="87">
        <f t="shared" ref="N12:N36" si="12">N11*(1+IFERROR(_2025_2045_V_C_Growth,_2018_2045_V_C_Growth))</f>
        <v>0.37344595753666793</v>
      </c>
      <c r="O12" s="88">
        <f t="shared" si="7"/>
        <v>1</v>
      </c>
      <c r="P12" s="84">
        <f t="shared" si="8"/>
        <v>18896.365451355377</v>
      </c>
      <c r="Q12" s="85">
        <f t="shared" si="0"/>
        <v>1</v>
      </c>
      <c r="R12" s="86">
        <f t="shared" si="1"/>
        <v>21.265679592355859</v>
      </c>
      <c r="S12" s="94">
        <f t="shared" si="2"/>
        <v>558.56323387653492</v>
      </c>
      <c r="T12" s="80">
        <f t="shared" si="9"/>
        <v>325.08888759143423</v>
      </c>
      <c r="W12" s="73"/>
    </row>
    <row r="13" spans="1:24" x14ac:dyDescent="0.25">
      <c r="A13" s="18" t="s">
        <v>206</v>
      </c>
      <c r="B13" s="19">
        <v>0.43</v>
      </c>
      <c r="D13" s="18" t="s">
        <v>84</v>
      </c>
      <c r="E13" s="46">
        <f>(E10/E8)^(1/(2045-2018))-1</f>
        <v>1.0849280619573021E-2</v>
      </c>
      <c r="F13" s="28"/>
      <c r="H13" s="15">
        <f t="shared" si="3"/>
        <v>2027</v>
      </c>
      <c r="I13" s="97">
        <f t="shared" si="10"/>
        <v>8921.9824355122237</v>
      </c>
      <c r="J13" s="60">
        <f t="shared" si="4"/>
        <v>254064.07125887185</v>
      </c>
      <c r="K13" s="60">
        <f>IF(H13=Year_Open_to_Traffic?,Calculations!$E$4,K12+(K12*M13))</f>
        <v>234520.68116203556</v>
      </c>
      <c r="L13" s="60">
        <f>IF(AND(H13&gt;=Year_Open_to_Traffic?, Calculations!H13&lt;Year_Open_to_Traffic?+'Inputs &amp; Outputs'!B$21), 1, 0)</f>
        <v>1</v>
      </c>
      <c r="M13" s="81">
        <f t="shared" si="11"/>
        <v>3.4240692854217381E-2</v>
      </c>
      <c r="N13" s="87">
        <f t="shared" si="12"/>
        <v>0.38623300586633008</v>
      </c>
      <c r="O13" s="88">
        <f t="shared" si="7"/>
        <v>1</v>
      </c>
      <c r="P13" s="84">
        <f t="shared" si="8"/>
        <v>19543.390096836287</v>
      </c>
      <c r="Q13" s="85">
        <f t="shared" si="0"/>
        <v>1</v>
      </c>
      <c r="R13" s="86">
        <f t="shared" si="1"/>
        <v>21.754790222980041</v>
      </c>
      <c r="S13" s="94">
        <f t="shared" si="2"/>
        <v>590.97566900552931</v>
      </c>
      <c r="T13" s="80">
        <f t="shared" si="9"/>
        <v>321.45160741834826</v>
      </c>
      <c r="W13" s="73"/>
    </row>
    <row r="14" spans="1:24" x14ac:dyDescent="0.25">
      <c r="H14" s="59">
        <f>H13+1</f>
        <v>2028</v>
      </c>
      <c r="I14" s="97">
        <f t="shared" si="10"/>
        <v>9227.4772957373207</v>
      </c>
      <c r="J14" s="60">
        <f t="shared" si="4"/>
        <v>262763.40108813887</v>
      </c>
      <c r="K14" s="60">
        <f>IF(H14=Year_Open_to_Traffic?,Calculations!$E$4,K13+(K13*M14))</f>
        <v>242550.83177366666</v>
      </c>
      <c r="L14" s="60">
        <f>IF(AND(H14&gt;=Year_Open_to_Traffic?, Calculations!H14&lt;Year_Open_to_Traffic?+'Inputs &amp; Outputs'!B$21), 1, 0)</f>
        <v>1</v>
      </c>
      <c r="M14" s="81">
        <f t="shared" si="11"/>
        <v>3.4240692854217381E-2</v>
      </c>
      <c r="N14" s="87">
        <f t="shared" si="12"/>
        <v>0.39945789159036021</v>
      </c>
      <c r="O14" s="88">
        <f t="shared" si="7"/>
        <v>1</v>
      </c>
      <c r="P14" s="84">
        <f t="shared" si="8"/>
        <v>20212.569314472203</v>
      </c>
      <c r="Q14" s="85">
        <f t="shared" si="0"/>
        <v>1</v>
      </c>
      <c r="R14" s="86">
        <f t="shared" si="1"/>
        <v>22.255150398108579</v>
      </c>
      <c r="S14" s="94">
        <f t="shared" si="2"/>
        <v>625.26894033582482</v>
      </c>
      <c r="T14" s="80">
        <f t="shared" si="9"/>
        <v>317.85502321354164</v>
      </c>
      <c r="W14" s="73"/>
    </row>
    <row r="15" spans="1:24" x14ac:dyDescent="0.25">
      <c r="H15" s="15">
        <f t="shared" si="3"/>
        <v>2029</v>
      </c>
      <c r="I15" s="97">
        <f t="shared" si="10"/>
        <v>9543.4325116399268</v>
      </c>
      <c r="J15" s="60">
        <f t="shared" si="4"/>
        <v>271760.60199812736</v>
      </c>
      <c r="K15" s="60">
        <f>IF(H15=Year_Open_to_Traffic?,Calculations!$E$4,K14+(K14*M15))</f>
        <v>250855.94030596374</v>
      </c>
      <c r="L15" s="60">
        <f>IF(AND(H15&gt;=Year_Open_to_Traffic?, Calculations!H15&lt;Year_Open_to_Traffic?+'Inputs &amp; Outputs'!B$21), 1, 0)</f>
        <v>1</v>
      </c>
      <c r="M15" s="81">
        <f t="shared" si="11"/>
        <v>3.4240692854217381E-2</v>
      </c>
      <c r="N15" s="87">
        <f t="shared" si="12"/>
        <v>0.41313560656449899</v>
      </c>
      <c r="O15" s="88">
        <f t="shared" si="7"/>
        <v>1</v>
      </c>
      <c r="P15" s="84">
        <f t="shared" si="8"/>
        <v>20904.661692163616</v>
      </c>
      <c r="Q15" s="85">
        <f t="shared" si="0"/>
        <v>1</v>
      </c>
      <c r="R15" s="86">
        <f t="shared" si="1"/>
        <v>22.767018857265079</v>
      </c>
      <c r="S15" s="94">
        <f t="shared" si="2"/>
        <v>661.55218946082789</v>
      </c>
      <c r="T15" s="80">
        <f t="shared" si="9"/>
        <v>314.29867964727526</v>
      </c>
      <c r="W15" s="73"/>
    </row>
    <row r="16" spans="1:24" x14ac:dyDescent="0.25">
      <c r="H16" s="59">
        <f t="shared" si="3"/>
        <v>2030</v>
      </c>
      <c r="I16" s="97">
        <f t="shared" si="10"/>
        <v>9870.2062530459425</v>
      </c>
      <c r="J16" s="60">
        <f t="shared" si="4"/>
        <v>281065.87330102245</v>
      </c>
      <c r="K16" s="60">
        <f>IF(H16=Year_Open_to_Traffic?,Calculations!$E$4,K15+(K15*M16))</f>
        <v>259445.42150863612</v>
      </c>
      <c r="L16" s="60">
        <f>IF(AND(H16&gt;=Year_Open_to_Traffic?, Calculations!H16&lt;Year_Open_to_Traffic?+'Inputs &amp; Outputs'!B$21), 1, 0)</f>
        <v>1</v>
      </c>
      <c r="M16" s="81">
        <f t="shared" si="11"/>
        <v>3.4240692854217381E-2</v>
      </c>
      <c r="N16" s="87">
        <f t="shared" si="12"/>
        <v>0.42728165597601481</v>
      </c>
      <c r="O16" s="88">
        <f t="shared" si="7"/>
        <v>1</v>
      </c>
      <c r="P16" s="84">
        <f t="shared" si="8"/>
        <v>21620.451792386331</v>
      </c>
      <c r="Q16" s="85">
        <f t="shared" si="0"/>
        <v>1</v>
      </c>
      <c r="R16" s="86">
        <f t="shared" si="1"/>
        <v>23.290660290982171</v>
      </c>
      <c r="S16" s="94">
        <f t="shared" si="2"/>
        <v>699.94089126729693</v>
      </c>
      <c r="T16" s="80">
        <f t="shared" si="9"/>
        <v>310.782126484299</v>
      </c>
      <c r="W16" s="73"/>
    </row>
    <row r="17" spans="1:23" x14ac:dyDescent="0.25">
      <c r="A17" s="29"/>
      <c r="H17" s="15">
        <f t="shared" si="3"/>
        <v>2031</v>
      </c>
      <c r="I17" s="97">
        <f t="shared" si="10"/>
        <v>10208.168953764265</v>
      </c>
      <c r="J17" s="60">
        <f t="shared" si="4"/>
        <v>290689.76354052516</v>
      </c>
      <c r="K17" s="60">
        <f>IF(H17=Year_Open_to_Traffic?,Calculations!$E$4,K16+(K16*M17))</f>
        <v>268329.01249894628</v>
      </c>
      <c r="L17" s="60">
        <f>IF(AND(H17&gt;=Year_Open_to_Traffic?, Calculations!H17&lt;Year_Open_to_Traffic?+'Inputs &amp; Outputs'!B$21), 1, 0)</f>
        <v>1</v>
      </c>
      <c r="M17" s="81">
        <f t="shared" si="11"/>
        <v>3.4240692854217381E-2</v>
      </c>
      <c r="N17" s="87">
        <f t="shared" si="12"/>
        <v>0.44191207592053089</v>
      </c>
      <c r="O17" s="88">
        <f t="shared" si="7"/>
        <v>1</v>
      </c>
      <c r="P17" s="84">
        <f t="shared" si="8"/>
        <v>22360.751041578886</v>
      </c>
      <c r="Q17" s="85">
        <f t="shared" si="0"/>
        <v>1</v>
      </c>
      <c r="R17" s="86">
        <f t="shared" si="1"/>
        <v>23.82634547767476</v>
      </c>
      <c r="S17" s="94">
        <f t="shared" si="2"/>
        <v>740.55722144513857</v>
      </c>
      <c r="T17" s="80">
        <f t="shared" si="9"/>
        <v>307.3049185268514</v>
      </c>
      <c r="W17" s="73"/>
    </row>
    <row r="18" spans="1:23" x14ac:dyDescent="0.25">
      <c r="H18" s="59">
        <f t="shared" si="3"/>
        <v>2032</v>
      </c>
      <c r="I18" s="97">
        <f t="shared" si="10"/>
        <v>10557.703731514064</v>
      </c>
      <c r="J18" s="60">
        <f t="shared" si="4"/>
        <v>300643.18244978134</v>
      </c>
      <c r="K18" s="60">
        <f>IF(H18=Year_Open_to_Traffic?,Calculations!$E$4,K17+(K17*M18))</f>
        <v>277516.78379979817</v>
      </c>
      <c r="L18" s="60">
        <f>IF(AND(H18&gt;=Year_Open_to_Traffic?, Calculations!H18&lt;Year_Open_to_Traffic?+'Inputs &amp; Outputs'!B$21), 1, 0)</f>
        <v>1</v>
      </c>
      <c r="M18" s="81">
        <f t="shared" si="11"/>
        <v>3.4240692854217381E-2</v>
      </c>
      <c r="N18" s="87">
        <f t="shared" si="12"/>
        <v>0.45704345158069537</v>
      </c>
      <c r="O18" s="88">
        <f t="shared" si="7"/>
        <v>1</v>
      </c>
      <c r="P18" s="84">
        <f t="shared" si="8"/>
        <v>23126.398649983166</v>
      </c>
      <c r="Q18" s="85">
        <f t="shared" si="0"/>
        <v>1</v>
      </c>
      <c r="R18" s="86">
        <f t="shared" si="1"/>
        <v>24.374351423661277</v>
      </c>
      <c r="S18" s="94">
        <f t="shared" si="2"/>
        <v>783.53044532314186</v>
      </c>
      <c r="T18" s="80">
        <f t="shared" si="9"/>
        <v>303.86661555829681</v>
      </c>
      <c r="W18" s="73"/>
    </row>
    <row r="19" spans="1:23" x14ac:dyDescent="0.25">
      <c r="H19" s="15">
        <f t="shared" si="3"/>
        <v>2033</v>
      </c>
      <c r="I19" s="97">
        <f t="shared" si="10"/>
        <v>10919.206822230663</v>
      </c>
      <c r="J19" s="60">
        <f t="shared" si="4"/>
        <v>310937.41331875871</v>
      </c>
      <c r="K19" s="60">
        <f>IF(H19=Year_Open_to_Traffic?,Calculations!$E$4,K18+(K18*M19))</f>
        <v>287019.15075577731</v>
      </c>
      <c r="L19" s="60">
        <f>IF(AND(H19&gt;=Year_Open_to_Traffic?, Calculations!H19&lt;Year_Open_to_Traffic?+'Inputs &amp; Outputs'!B$21), 1, 0)</f>
        <v>1</v>
      </c>
      <c r="M19" s="81">
        <f t="shared" si="11"/>
        <v>3.4240692854217381E-2</v>
      </c>
      <c r="N19" s="87">
        <f t="shared" si="12"/>
        <v>0.47269293602730134</v>
      </c>
      <c r="O19" s="88">
        <f t="shared" si="7"/>
        <v>1</v>
      </c>
      <c r="P19" s="84">
        <f t="shared" si="8"/>
        <v>23918.262562981399</v>
      </c>
      <c r="Q19" s="85">
        <f t="shared" si="0"/>
        <v>1</v>
      </c>
      <c r="R19" s="86">
        <f t="shared" si="1"/>
        <v>24.934961506405479</v>
      </c>
      <c r="S19" s="94">
        <f t="shared" si="2"/>
        <v>828.99732926817614</v>
      </c>
      <c r="T19" s="80">
        <f t="shared" si="9"/>
        <v>300.46678228739705</v>
      </c>
      <c r="W19" s="73"/>
    </row>
    <row r="20" spans="1:23" x14ac:dyDescent="0.25">
      <c r="H20" s="59">
        <f t="shared" si="3"/>
        <v>2034</v>
      </c>
      <c r="I20" s="97">
        <f t="shared" si="10"/>
        <v>11293.088029242337</v>
      </c>
      <c r="J20" s="60">
        <f t="shared" si="4"/>
        <v>321584.12578509119</v>
      </c>
      <c r="K20" s="60">
        <f>IF(H20=Year_Open_to_Traffic?,Calculations!$E$4,K19+(K19*M20))</f>
        <v>296846.88534008421</v>
      </c>
      <c r="L20" s="60">
        <f>IF(AND(H20&gt;=Year_Open_to_Traffic?, Calculations!H20&lt;Year_Open_to_Traffic?+'Inputs &amp; Outputs'!B$21), 1, 0)</f>
        <v>1</v>
      </c>
      <c r="M20" s="81">
        <f t="shared" si="11"/>
        <v>3.4240692854217381E-2</v>
      </c>
      <c r="N20" s="87">
        <f t="shared" si="12"/>
        <v>0.48887826966417036</v>
      </c>
      <c r="O20" s="88">
        <f t="shared" si="7"/>
        <v>1</v>
      </c>
      <c r="P20" s="84">
        <f t="shared" si="8"/>
        <v>24737.240445006988</v>
      </c>
      <c r="Q20" s="85">
        <f t="shared" si="0"/>
        <v>1</v>
      </c>
      <c r="R20" s="86">
        <f t="shared" si="1"/>
        <v>25.508465621052807</v>
      </c>
      <c r="S20" s="94">
        <f t="shared" si="2"/>
        <v>877.10257595713699</v>
      </c>
      <c r="T20" s="80">
        <f t="shared" si="9"/>
        <v>297.10498829320073</v>
      </c>
      <c r="W20" s="73"/>
    </row>
    <row r="21" spans="1:23" x14ac:dyDescent="0.25">
      <c r="H21" s="15">
        <f t="shared" si="3"/>
        <v>2035</v>
      </c>
      <c r="I21" s="97">
        <f t="shared" si="10"/>
        <v>11679.771187827264</v>
      </c>
      <c r="J21" s="60">
        <f t="shared" si="4"/>
        <v>332595.38906289049</v>
      </c>
      <c r="K21" s="60">
        <f>IF(H21=Year_Open_to_Traffic?,Calculations!$E$4,K20+(K20*M21))</f>
        <v>307011.12836574513</v>
      </c>
      <c r="L21" s="60">
        <f>IF(AND(H21&gt;=Year_Open_to_Traffic?, Calculations!H21&lt;Year_Open_to_Traffic?+'Inputs &amp; Outputs'!B$21), 1, 0)</f>
        <v>1</v>
      </c>
      <c r="M21" s="81">
        <f t="shared" si="11"/>
        <v>3.4240692854217381E-2</v>
      </c>
      <c r="N21" s="87">
        <f t="shared" si="12"/>
        <v>0.50561780033884252</v>
      </c>
      <c r="O21" s="88">
        <f t="shared" si="7"/>
        <v>1</v>
      </c>
      <c r="P21" s="84">
        <f t="shared" si="8"/>
        <v>25584.260697145364</v>
      </c>
      <c r="Q21" s="85">
        <f t="shared" si="0"/>
        <v>1</v>
      </c>
      <c r="R21" s="86">
        <f t="shared" si="1"/>
        <v>26.095160330337016</v>
      </c>
      <c r="S21" s="94">
        <f t="shared" si="2"/>
        <v>927.99928490695595</v>
      </c>
      <c r="T21" s="80">
        <f t="shared" si="9"/>
        <v>293.78080797054969</v>
      </c>
      <c r="W21" s="73"/>
    </row>
    <row r="22" spans="1:23" x14ac:dyDescent="0.25">
      <c r="H22" s="59">
        <f>H21+1</f>
        <v>2036</v>
      </c>
      <c r="I22" s="97">
        <f t="shared" si="10"/>
        <v>12079.694645677195</v>
      </c>
      <c r="J22" s="60">
        <f t="shared" si="4"/>
        <v>343983.68562452187</v>
      </c>
      <c r="K22" s="60">
        <f>IF(H22=Year_Open_to_Traffic?,Calculations!$E$4,K21+(K21*M22))</f>
        <v>317523.40211494331</v>
      </c>
      <c r="L22" s="60">
        <f>IF(AND(H22&gt;=Year_Open_to_Traffic?, Calculations!H22&lt;Year_Open_to_Traffic?+'Inputs &amp; Outputs'!B$21), 1, 0)</f>
        <v>1</v>
      </c>
      <c r="M22" s="81">
        <f t="shared" si="11"/>
        <v>3.4240692854217381E-2</v>
      </c>
      <c r="N22" s="87">
        <f t="shared" si="12"/>
        <v>0.52293050414186981</v>
      </c>
      <c r="O22" s="88">
        <f t="shared" si="7"/>
        <v>1</v>
      </c>
      <c r="P22" s="84">
        <f t="shared" si="8"/>
        <v>26460.283509578556</v>
      </c>
      <c r="Q22" s="85">
        <f t="shared" si="0"/>
        <v>1</v>
      </c>
      <c r="R22" s="86">
        <f t="shared" si="1"/>
        <v>26.695349017934767</v>
      </c>
      <c r="S22" s="94">
        <f t="shared" si="2"/>
        <v>981.84943972836777</v>
      </c>
      <c r="T22" s="80">
        <f t="shared" si="9"/>
        <v>290.49382047620196</v>
      </c>
      <c r="W22" s="73"/>
    </row>
    <row r="23" spans="1:23" x14ac:dyDescent="0.25">
      <c r="H23" s="15">
        <f t="shared" si="3"/>
        <v>2037</v>
      </c>
      <c r="I23" s="97">
        <f t="shared" si="10"/>
        <v>12493.311759812563</v>
      </c>
      <c r="J23" s="60">
        <f t="shared" si="4"/>
        <v>355761.92535085278</v>
      </c>
      <c r="K23" s="60">
        <f>IF(H23=Year_Open_to_Traffic?,Calculations!$E$4,K22+(K22*M23))</f>
        <v>328395.62340078724</v>
      </c>
      <c r="L23" s="60">
        <f>IF(AND(H23&gt;=Year_Open_to_Traffic?, Calculations!H23&lt;Year_Open_to_Traffic?+'Inputs &amp; Outputs'!B$21), 1, 0)</f>
        <v>1</v>
      </c>
      <c r="M23" s="81">
        <f t="shared" si="11"/>
        <v>3.4240692854217381E-2</v>
      </c>
      <c r="N23" s="87">
        <f t="shared" si="12"/>
        <v>0.54083600691829259</v>
      </c>
      <c r="O23" s="88">
        <f t="shared" si="7"/>
        <v>1</v>
      </c>
      <c r="P23" s="84">
        <f t="shared" si="8"/>
        <v>27366.301950065535</v>
      </c>
      <c r="Q23" s="85">
        <f t="shared" si="0"/>
        <v>1</v>
      </c>
      <c r="R23" s="86">
        <f t="shared" si="1"/>
        <v>27.309342045347261</v>
      </c>
      <c r="S23" s="94">
        <f t="shared" si="2"/>
        <v>1038.824423654125</v>
      </c>
      <c r="T23" s="80">
        <f t="shared" si="9"/>
        <v>287.24360967554821</v>
      </c>
      <c r="W23" s="73"/>
    </row>
    <row r="24" spans="1:23" x14ac:dyDescent="0.25">
      <c r="H24" s="59">
        <f t="shared" si="3"/>
        <v>2038</v>
      </c>
      <c r="I24" s="97">
        <f t="shared" si="10"/>
        <v>12921.091410512287</v>
      </c>
      <c r="J24" s="60">
        <f t="shared" si="4"/>
        <v>367943.46016601636</v>
      </c>
      <c r="K24" s="60">
        <f>IF(H24=Year_Open_to_Traffic?,Calculations!$E$4,K23+(K23*M24))</f>
        <v>339640.11707632284</v>
      </c>
      <c r="L24" s="60">
        <f>IF(AND(H24&gt;=Year_Open_to_Traffic?, Calculations!H24&lt;Year_Open_to_Traffic?+'Inputs &amp; Outputs'!B$21), 1, 0)</f>
        <v>1</v>
      </c>
      <c r="M24" s="81">
        <f t="shared" si="11"/>
        <v>3.4240692854217381E-2</v>
      </c>
      <c r="N24" s="87">
        <f t="shared" si="12"/>
        <v>0.55935460651568325</v>
      </c>
      <c r="O24" s="88">
        <f t="shared" si="7"/>
        <v>1</v>
      </c>
      <c r="P24" s="84">
        <f>(J24-K24)*L24</f>
        <v>28303.343089693517</v>
      </c>
      <c r="Q24" s="85">
        <f t="shared" si="0"/>
        <v>1</v>
      </c>
      <c r="R24" s="86">
        <f t="shared" si="1"/>
        <v>27.93745691239025</v>
      </c>
      <c r="S24" s="94">
        <f t="shared" si="2"/>
        <v>1099.1055649824261</v>
      </c>
      <c r="T24" s="80">
        <f t="shared" si="9"/>
        <v>284.02976408993231</v>
      </c>
      <c r="W24" s="73"/>
    </row>
    <row r="25" spans="1:23" x14ac:dyDescent="0.25">
      <c r="H25" s="15">
        <f t="shared" si="3"/>
        <v>2039</v>
      </c>
      <c r="I25" s="97">
        <f t="shared" si="10"/>
        <v>13363.518532840904</v>
      </c>
      <c r="J25" s="60">
        <f t="shared" si="4"/>
        <v>380542.0991732789</v>
      </c>
      <c r="K25" s="60">
        <f>IF(H25=Year_Open_to_Traffic?,Calculations!$E$4,K24+(K24*M25))</f>
        <v>351269.63000610366</v>
      </c>
      <c r="L25" s="60">
        <f>IF(AND(H25&gt;=Year_Open_to_Traffic?, Calculations!H25&lt;Year_Open_to_Traffic?+'Inputs &amp; Outputs'!B$21), 1, 0)</f>
        <v>1</v>
      </c>
      <c r="M25" s="81">
        <f t="shared" si="11"/>
        <v>3.4240692854217381E-2</v>
      </c>
      <c r="N25" s="87">
        <f t="shared" si="12"/>
        <v>0.57850729579397842</v>
      </c>
      <c r="O25" s="88">
        <f t="shared" si="7"/>
        <v>1</v>
      </c>
      <c r="P25" s="84">
        <f t="shared" si="8"/>
        <v>29272.469167175237</v>
      </c>
      <c r="Q25" s="85">
        <f t="shared" si="0"/>
        <v>1</v>
      </c>
      <c r="R25" s="86">
        <f t="shared" si="1"/>
        <v>28.580018421375218</v>
      </c>
      <c r="S25" s="94">
        <f t="shared" si="2"/>
        <v>1162.8847141714386</v>
      </c>
      <c r="T25" s="80">
        <f t="shared" si="9"/>
        <v>280.85187684455502</v>
      </c>
      <c r="W25" s="73"/>
    </row>
    <row r="26" spans="1:23" x14ac:dyDescent="0.25">
      <c r="H26" s="59">
        <f t="shared" si="3"/>
        <v>2040</v>
      </c>
      <c r="I26" s="97">
        <f t="shared" si="10"/>
        <v>13821.094666375551</v>
      </c>
      <c r="J26" s="60">
        <f t="shared" si="4"/>
        <v>393572.12430917029</v>
      </c>
      <c r="K26" s="60">
        <f>IF(H26=Year_Open_to_Traffic?,Calculations!$E$4,K25+(K25*M26))</f>
        <v>363297.34551615722</v>
      </c>
      <c r="L26" s="60">
        <f>IF(AND(H26&gt;=Year_Open_to_Traffic?, Calculations!H26&lt;Year_Open_to_Traffic?+'Inputs &amp; Outputs'!B$21), 1, 0)</f>
        <v>1</v>
      </c>
      <c r="M26" s="81">
        <f t="shared" si="11"/>
        <v>3.4240692854217381E-2</v>
      </c>
      <c r="N26" s="87">
        <f t="shared" si="12"/>
        <v>0.59831578642318395</v>
      </c>
      <c r="O26" s="88">
        <f t="shared" si="7"/>
        <v>1</v>
      </c>
      <c r="P26" s="84">
        <f t="shared" si="8"/>
        <v>30274.778793013073</v>
      </c>
      <c r="Q26" s="85">
        <f t="shared" si="0"/>
        <v>1</v>
      </c>
      <c r="R26" s="86">
        <f t="shared" si="1"/>
        <v>29.237358845066851</v>
      </c>
      <c r="S26" s="94">
        <f t="shared" si="2"/>
        <v>1230.3648544216167</v>
      </c>
      <c r="T26" s="80">
        <f t="shared" si="9"/>
        <v>277.70954561696647</v>
      </c>
      <c r="W26" s="73"/>
    </row>
    <row r="27" spans="1:23" x14ac:dyDescent="0.25">
      <c r="H27" s="15">
        <f t="shared" si="3"/>
        <v>2041</v>
      </c>
      <c r="I27" s="97">
        <f t="shared" si="10"/>
        <v>14294.338523755978</v>
      </c>
      <c r="J27" s="60">
        <f t="shared" si="4"/>
        <v>407048.30653362244</v>
      </c>
      <c r="K27" s="60">
        <f>IF(H27=Year_Open_to_Traffic?,Calculations!$E$4,K26+(K26*M27))</f>
        <v>375736.89833872847</v>
      </c>
      <c r="L27" s="60">
        <f>IF(AND(H27&gt;=Year_Open_to_Traffic?, Calculations!H27&lt;Year_Open_to_Traffic?+'Inputs &amp; Outputs'!B$21), 1, 0)</f>
        <v>1</v>
      </c>
      <c r="M27" s="81">
        <f t="shared" si="11"/>
        <v>3.4240692854217381E-2</v>
      </c>
      <c r="N27" s="87">
        <f t="shared" si="12"/>
        <v>0.61880253349592973</v>
      </c>
      <c r="O27" s="88">
        <f t="shared" si="7"/>
        <v>1</v>
      </c>
      <c r="P27" s="84">
        <f t="shared" si="8"/>
        <v>31311.408194893971</v>
      </c>
      <c r="Q27" s="85">
        <f t="shared" si="0"/>
        <v>1</v>
      </c>
      <c r="R27" s="86">
        <f t="shared" si="1"/>
        <v>29.909818098503379</v>
      </c>
      <c r="S27" s="94">
        <f t="shared" si="2"/>
        <v>1301.7607476890007</v>
      </c>
      <c r="T27" s="80">
        <f t="shared" si="9"/>
        <v>274.60237258612773</v>
      </c>
      <c r="W27" s="73"/>
    </row>
    <row r="28" spans="1:23" x14ac:dyDescent="0.25">
      <c r="H28" s="59">
        <f t="shared" si="3"/>
        <v>2042</v>
      </c>
      <c r="I28" s="97">
        <f t="shared" si="10"/>
        <v>14783.786578702113</v>
      </c>
      <c r="J28" s="60">
        <f t="shared" si="4"/>
        <v>420985.92257446953</v>
      </c>
      <c r="K28" s="60">
        <f>IF(H28=Year_Open_to_Traffic?,Calculations!$E$4,K27+(K27*M28))</f>
        <v>388602.39006874117</v>
      </c>
      <c r="L28" s="60">
        <f>IF(AND(H28&gt;=Year_Open_to_Traffic?, Calculations!H28&lt;Year_Open_to_Traffic?+'Inputs &amp; Outputs'!B$21), 1, 0)</f>
        <v>1</v>
      </c>
      <c r="M28" s="81">
        <f t="shared" si="11"/>
        <v>3.4240692854217381E-2</v>
      </c>
      <c r="N28" s="87">
        <f t="shared" si="12"/>
        <v>0.63999076098277541</v>
      </c>
      <c r="O28" s="88">
        <f t="shared" si="7"/>
        <v>1</v>
      </c>
      <c r="P28" s="84">
        <f t="shared" si="8"/>
        <v>32383.532505728363</v>
      </c>
      <c r="Q28" s="85">
        <f t="shared" si="0"/>
        <v>1</v>
      </c>
      <c r="R28" s="86">
        <f t="shared" si="1"/>
        <v>30.597743914768959</v>
      </c>
      <c r="S28" s="94">
        <f t="shared" si="2"/>
        <v>1377.2996181855631</v>
      </c>
      <c r="T28" s="80">
        <f t="shared" si="9"/>
        <v>271.52996438205156</v>
      </c>
      <c r="W28" s="73"/>
    </row>
    <row r="29" spans="1:23" x14ac:dyDescent="0.25">
      <c r="H29" s="15">
        <f t="shared" si="3"/>
        <v>2043</v>
      </c>
      <c r="I29" s="97">
        <f t="shared" si="10"/>
        <v>15289.993674165753</v>
      </c>
      <c r="J29" s="60">
        <f t="shared" si="4"/>
        <v>435400.77224529127</v>
      </c>
      <c r="K29" s="60">
        <f>IF(H29=Year_Open_to_Traffic?,Calculations!$E$4,K28+(K28*M29))</f>
        <v>401908.40514949971</v>
      </c>
      <c r="L29" s="60">
        <f>IF(AND(H29&gt;=Year_Open_to_Traffic?, Calculations!H29&lt;Year_Open_to_Traffic?+'Inputs &amp; Outputs'!B$21), 1, 0)</f>
        <v>1</v>
      </c>
      <c r="M29" s="81">
        <f t="shared" si="11"/>
        <v>3.4240692854217381E-2</v>
      </c>
      <c r="N29" s="87">
        <f t="shared" si="12"/>
        <v>0.6619044880591235</v>
      </c>
      <c r="O29" s="88">
        <f t="shared" si="7"/>
        <v>1</v>
      </c>
      <c r="P29" s="84">
        <f t="shared" si="8"/>
        <v>33492.36709579156</v>
      </c>
      <c r="Q29" s="85">
        <f t="shared" si="0"/>
        <v>1</v>
      </c>
      <c r="R29" s="86">
        <f t="shared" si="1"/>
        <v>31.301492024808638</v>
      </c>
      <c r="S29" s="94">
        <f t="shared" si="2"/>
        <v>1457.2218755418269</v>
      </c>
      <c r="T29" s="80">
        <f t="shared" si="9"/>
        <v>268.49193203599697</v>
      </c>
      <c r="W29" s="73"/>
    </row>
    <row r="30" spans="1:23" x14ac:dyDescent="0.25">
      <c r="H30" s="15">
        <f t="shared" si="3"/>
        <v>2044</v>
      </c>
      <c r="I30" s="97">
        <f t="shared" si="10"/>
        <v>15813.53365130579</v>
      </c>
      <c r="J30" s="60">
        <f t="shared" si="4"/>
        <v>450309.19635623135</v>
      </c>
      <c r="K30" s="60">
        <f>IF(H30=Year_Open_to_Traffic?,Calculations!$E$4,K29+(K29*M30))</f>
        <v>415670.0274057521</v>
      </c>
      <c r="L30" s="60">
        <f>IF(AND(H30&gt;=Year_Open_to_Traffic?, Calculations!H30&lt;Year_Open_to_Traffic?+'Inputs &amp; Outputs'!B$21), 1, 0)</f>
        <v>1</v>
      </c>
      <c r="M30" s="81">
        <f t="shared" si="11"/>
        <v>3.4240692854217381E-2</v>
      </c>
      <c r="N30" s="87">
        <f t="shared" si="12"/>
        <v>0.68456855633358393</v>
      </c>
      <c r="O30" s="88">
        <f t="shared" si="7"/>
        <v>1</v>
      </c>
      <c r="P30" s="84">
        <f t="shared" si="8"/>
        <v>34639.168950479245</v>
      </c>
      <c r="Q30" s="85">
        <f t="shared" si="0"/>
        <v>1</v>
      </c>
      <c r="R30" s="86">
        <f t="shared" si="1"/>
        <v>32.021426341379232</v>
      </c>
      <c r="S30" s="94">
        <f t="shared" si="2"/>
        <v>1541.7818799333627</v>
      </c>
      <c r="T30" s="80">
        <f t="shared" si="9"/>
        <v>265.48789093122843</v>
      </c>
      <c r="W30" s="73"/>
    </row>
    <row r="31" spans="1:23" x14ac:dyDescent="0.25">
      <c r="H31" s="15">
        <f t="shared" si="3"/>
        <v>2045</v>
      </c>
      <c r="I31" s="97">
        <f t="shared" si="10"/>
        <v>16354.999999999982</v>
      </c>
      <c r="J31" s="60">
        <f t="shared" si="4"/>
        <v>465728.09523809451</v>
      </c>
      <c r="K31" s="60">
        <f>IF(H31=Year_Open_to_Traffic?,Calculations!$E$4,K30+(K30*M31))</f>
        <v>429902.85714285658</v>
      </c>
      <c r="L31" s="60">
        <f>IF(AND(H31&gt;=Year_Open_to_Traffic?, Calculations!H31&lt;Year_Open_to_Traffic?+'Inputs &amp; Outputs'!B$21), 1, 0)</f>
        <v>0</v>
      </c>
      <c r="M31" s="81">
        <f t="shared" si="11"/>
        <v>3.4240692854217381E-2</v>
      </c>
      <c r="N31" s="87">
        <f t="shared" si="12"/>
        <v>0.7080086580086572</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16915.006531630708</v>
      </c>
      <c r="J32" s="60">
        <f t="shared" si="4"/>
        <v>481674.9479007218</v>
      </c>
      <c r="K32" s="60">
        <f>IF(H32=Year_Open_to_Traffic?,Calculations!$E$4,K31+(K31*M32))</f>
        <v>444623.0288314356</v>
      </c>
      <c r="L32" s="60">
        <f>IF(AND(H32&gt;=Year_Open_to_Traffic?, Calculations!H32&lt;Year_Open_to_Traffic?+'Inputs &amp; Outputs'!B$21), 1, 0)</f>
        <v>0</v>
      </c>
      <c r="M32" s="81">
        <f t="shared" si="11"/>
        <v>3.4240692854217381E-2</v>
      </c>
      <c r="N32" s="87">
        <f t="shared" si="12"/>
        <v>0.73225136500565824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17494.188074907357</v>
      </c>
      <c r="J33" s="60">
        <f t="shared" si="4"/>
        <v>498167.83184736158</v>
      </c>
      <c r="K33" s="60">
        <f>IF(H33=Year_Open_to_Traffic?,Calculations!$E$4,K32+(K32*M33))</f>
        <v>459847.2293975646</v>
      </c>
      <c r="L33" s="60">
        <f>IF(AND(H33&gt;=Year_Open_to_Traffic?, Calculations!H33&lt;Year_Open_to_Traffic?+'Inputs &amp; Outputs'!B$21), 1, 0)</f>
        <v>0</v>
      </c>
      <c r="M33" s="81">
        <f t="shared" si="11"/>
        <v>3.4240692854217381E-2</v>
      </c>
      <c r="N33" s="87">
        <f t="shared" si="12"/>
        <v>0.75732415908689843</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18093.201195514172</v>
      </c>
      <c r="J34" s="60">
        <f t="shared" si="4"/>
        <v>515225.44356749847</v>
      </c>
      <c r="K34" s="60">
        <f>IF(H34=Year_Open_to_Traffic?,Calculations!$E$4,K33+(K33*M34))</f>
        <v>475592.71713922947</v>
      </c>
      <c r="L34" s="60">
        <f>IF(AND(H34&gt;=Year_Open_to_Traffic?, Calculations!H34&lt;Year_Open_to_Traffic?+'Inputs &amp; Outputs'!B$21), 1, 0)</f>
        <v>0</v>
      </c>
      <c r="M34" s="81">
        <f t="shared" si="11"/>
        <v>3.4240692854217381E-2</v>
      </c>
      <c r="N34" s="87">
        <f t="shared" si="12"/>
        <v>0.7832554630092714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18712.72494039933</v>
      </c>
      <c r="J35" s="60">
        <f t="shared" si="4"/>
        <v>532867.11973137106</v>
      </c>
      <c r="K35" s="60">
        <f>IF(H35=Year_Open_to_Traffic?,Calculations!$E$4,K34+(K34*M35))</f>
        <v>491877.34129049652</v>
      </c>
      <c r="L35" s="60">
        <f>IF(AND(H35&gt;=Year_Open_to_Traffic?, Calculations!H35&lt;Year_Open_to_Traffic?+'Inputs &amp; Outputs'!B$21), 1, 0)</f>
        <v>0</v>
      </c>
      <c r="M35" s="81">
        <f t="shared" si="11"/>
        <v>3.4240692854217381E-2</v>
      </c>
      <c r="N35" s="87">
        <f t="shared" si="12"/>
        <v>0.81007467274455969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19353.461607548998</v>
      </c>
      <c r="J36" s="60">
        <f t="shared" si="4"/>
        <v>551112.85911020439</v>
      </c>
      <c r="K36" s="60">
        <f>IF(H36=Year_Open_to_Traffic?,Calculations!$E$4,K35+(K35*M36))</f>
        <v>508719.56225557346</v>
      </c>
      <c r="L36" s="60">
        <f>IF(AND(H36&gt;=Year_Open_to_Traffic?, Calculations!H36&lt;Year_Open_to_Traffic?+'Inputs &amp; Outputs'!B$21), 1, 0)</f>
        <v>0</v>
      </c>
      <c r="M36" s="81">
        <f t="shared" si="11"/>
        <v>3.4240692854217381E-2</v>
      </c>
      <c r="N36" s="87">
        <f t="shared" si="12"/>
        <v>0.83781219080298686</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5921.2085378444763</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B11" sqref="B11:C1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Arturo Villanueva</cp:lastModifiedBy>
  <cp:lastPrinted>2018-10-24T18:20:07Z</cp:lastPrinted>
  <dcterms:created xsi:type="dcterms:W3CDTF">2012-07-25T15:48:32Z</dcterms:created>
  <dcterms:modified xsi:type="dcterms:W3CDTF">2018-10-30T21:33:03Z</dcterms:modified>
</cp:coreProperties>
</file>