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24226"/>
  <mc:AlternateContent xmlns:mc="http://schemas.openxmlformats.org/markup-compatibility/2006">
    <mc:Choice Requires="x15">
      <x15ac:absPath xmlns:x15ac="http://schemas.microsoft.com/office/spreadsheetml/2010/11/ac" url="R:\1003300-1004999\1004170.00\04_DOCUMENTS\TIP APPLICATION\04_Benefit Cost Analysis\"/>
    </mc:Choice>
  </mc:AlternateContent>
  <xr:revisionPtr revIDLastSave="0" documentId="13_ncr:1_{ABCF2C46-BC7C-40D5-BB5D-6A95F1E6A9ED}" xr6:coauthVersionLast="38" xr6:coauthVersionMax="38" xr10:uidLastSave="{00000000-0000-0000-0000-000000000000}"/>
  <bookViews>
    <workbookView xWindow="0" yWindow="0" windowWidth="38400" windowHeight="17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s="1"/>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T9" i="12" l="1"/>
  <c r="U9" i="12" s="1"/>
  <c r="G28" i="7"/>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17" i="12" l="1"/>
  <c r="D26" i="12" s="1"/>
  <c r="E22" i="12"/>
  <c r="I26" i="12" s="1"/>
  <c r="E19" i="12"/>
  <c r="F26" i="12" s="1"/>
  <c r="E18" i="12"/>
  <c r="E26" i="12" s="1"/>
  <c r="E20" i="12"/>
  <c r="G26" i="12" s="1"/>
  <c r="E21" i="12"/>
  <c r="H26" i="12" s="1"/>
  <c r="S36" i="12"/>
  <c r="P36" i="12"/>
  <c r="Q36" i="12" s="1"/>
  <c r="E32" i="12" l="1"/>
  <c r="E28" i="12"/>
  <c r="E29" i="12"/>
  <c r="E33" i="12"/>
  <c r="E31" i="12"/>
  <c r="E30" i="12"/>
  <c r="E27" i="12"/>
  <c r="F28" i="12"/>
  <c r="F32" i="12"/>
  <c r="F29" i="12"/>
  <c r="F33" i="12"/>
  <c r="F31" i="12"/>
  <c r="F27" i="12"/>
  <c r="F30" i="12"/>
  <c r="H31" i="12"/>
  <c r="H29" i="12"/>
  <c r="H32" i="12"/>
  <c r="H30" i="12"/>
  <c r="H27" i="12"/>
  <c r="H33" i="12"/>
  <c r="H28" i="12"/>
  <c r="I31" i="12"/>
  <c r="I30" i="12"/>
  <c r="I27" i="12"/>
  <c r="I29" i="12"/>
  <c r="I28" i="12"/>
  <c r="I33" i="12"/>
  <c r="I32" i="12"/>
  <c r="G28" i="12"/>
  <c r="G27" i="12"/>
  <c r="G29" i="12"/>
  <c r="G31" i="12"/>
  <c r="G32" i="12"/>
  <c r="G30" i="12"/>
  <c r="G33" i="12"/>
  <c r="D27" i="12"/>
  <c r="D31" i="12"/>
  <c r="D29" i="12"/>
  <c r="D32" i="12"/>
  <c r="D28" i="12"/>
  <c r="D30" i="12"/>
  <c r="D33" i="12"/>
  <c r="J32" i="12" l="1"/>
  <c r="J28" i="12"/>
  <c r="J27" i="12"/>
  <c r="J33" i="12"/>
  <c r="J29" i="12"/>
  <c r="J30" i="12"/>
  <c r="J31" i="12"/>
  <c r="J5" i="12" l="1"/>
  <c r="R10" i="12" s="1"/>
  <c r="T10" i="12" s="1"/>
  <c r="U10" i="12" s="1"/>
  <c r="R11" i="12" l="1"/>
  <c r="T11" i="12" l="1"/>
  <c r="U11" i="12" s="1"/>
  <c r="R12" i="12"/>
  <c r="T12" i="12" l="1"/>
  <c r="U12" i="12" s="1"/>
  <c r="R13" i="12"/>
  <c r="T13" i="12" l="1"/>
  <c r="U13" i="12" s="1"/>
  <c r="R14" i="12"/>
  <c r="R15" i="12" l="1"/>
  <c r="T14" i="12"/>
  <c r="U14" i="12" s="1"/>
  <c r="T15" i="12" l="1"/>
  <c r="U15" i="12" s="1"/>
  <c r="R16" i="12"/>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T27" i="12" l="1"/>
  <c r="U27" i="12" s="1"/>
  <c r="R28" i="12"/>
  <c r="R29" i="12" l="1"/>
  <c r="T28" i="12"/>
  <c r="U28" i="12" s="1"/>
  <c r="R30" i="12" l="1"/>
  <c r="T29" i="12"/>
  <c r="U29" i="12" s="1"/>
  <c r="R31" i="12" l="1"/>
  <c r="T30" i="12"/>
  <c r="U30" i="12" s="1"/>
  <c r="R32" i="12" l="1"/>
  <c r="T31" i="12"/>
  <c r="U31" i="12" s="1"/>
  <c r="T32" i="12" l="1"/>
  <c r="U32" i="12" s="1"/>
  <c r="R33" i="12"/>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<sst xmlns="http://schemas.openxmlformats.org/spreadsheetml/2006/main" count="440" uniqueCount="284">
  <si>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</si>
  <si>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</si>
  <si>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</si>
  <si>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</si>
  <si>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</si>
  <si>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</si>
  <si>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</si>
  <si>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</si>
  <si>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</si>
  <si>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</si>
  <si>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</si>
  <si>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</si>
  <si>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</si>
  <si>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</si>
  <si>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</si>
  <si>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</si>
  <si>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</si>
  <si>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</si>
  <si>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</si>
  <si>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</si>
  <si>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</si>
  <si>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</si>
  <si>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</si>
  <si>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</si>
  <si>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</si>
  <si>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</si>
  <si>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</si>
  <si>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</si>
  <si>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</si>
  <si>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</si>
  <si>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</si>
  <si>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</si>
  <si>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</si>
  <si>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</si>
  <si>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</si>
  <si>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</si>
  <si>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</si>
  <si>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</si>
  <si>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</si>
  <si>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</si>
  <si>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</si>
  <si>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</si>
  <si>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</si>
  <si>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</si>
  <si>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</si>
  <si>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</si>
  <si>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</si>
  <si>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</si>
  <si>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</si>
  <si>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</si>
  <si>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</si>
  <si>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</si>
  <si>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</si>
  <si>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</si>
  <si>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</si>
  <si>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</si>
  <si>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</si>
  <si>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</si>
  <si>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</si>
  <si>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</si>
  <si>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</si>
  <si>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</si>
  <si>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</si>
  <si>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</si>
  <si>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</si>
  <si>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</si>
  <si>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</si>
  <si>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</si>
  <si>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</si>
  <si>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</si>
  <si>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</si>
  <si>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</si>
  <si>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</si>
  <si>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</si>
  <si>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</si>
  <si>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</si>
  <si>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</si>
  <si>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</si>
  <si>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</si>
  <si>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</si>
  <si>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</si>
  <si>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</si>
  <si>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</si>
  <si>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</si>
  <si>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</si>
  <si>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</si>
  <si>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</si>
  <si>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</si>
  <si>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</si>
  <si>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</si>
  <si>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</si>
  <si>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</si>
  <si>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</si>
  <si>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</si>
  <si>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</si>
  <si>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</si>
  <si>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</si>
  <si>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</si>
  <si>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</si>
  <si>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</si>
  <si>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</si>
  <si>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</si>
  <si>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</si>
  <si>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</si>
  <si>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</si>
  <si>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</si>
  <si>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</si>
  <si>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</si>
  <si>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</si>
  <si>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</si>
  <si>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</si>
  <si>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</si>
  <si>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</si>
  <si>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</si>
  <si>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</si>
  <si>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</si>
  <si>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</si>
  <si>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</si>
  <si>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</si>
  <si>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</si>
  <si>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</si>
  <si>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</si>
  <si>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</si>
  <si>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</si>
  <si>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</si>
  <si>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</si>
  <si>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</si>
  <si>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</si>
  <si>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</si>
  <si>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</si>
  <si>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</si>
  <si>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</si>
  <si>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</si>
  <si>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</si>
  <si>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</si>
  <si>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</si>
  <si>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</si>
  <si>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</si>
  <si>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</si>
  <si>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</si>
  <si>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</si>
  <si>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</si>
  <si>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</si>
  <si>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</si>
  <si>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</si>
  <si>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</si>
  <si>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</si>
  <si>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</si>
  <si>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</si>
  <si>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</si>
  <si>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</si>
  <si>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</si>
  <si>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</si>
  <si>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</si>
  <si>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</si>
  <si>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</si>
  <si>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</si>
  <si>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</si>
  <si>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</si>
  <si>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</si>
  <si>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</si>
  <si>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</si>
  <si>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</si>
  <si>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</si>
  <si>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</si>
  <si>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</si>
  <si>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</si>
  <si>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</si>
  <si>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</si>
  <si>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</si>
  <si>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</si>
  <si>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</si>
  <si>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</si>
  <si>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</si>
  <si>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</si>
  <si>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</si>
  <si>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</si>
  <si>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</si>
  <si>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</si>
  <si>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</si>
  <si>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</si>
  <si>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</si>
  <si>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</si>
  <si>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</si>
  <si>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</si>
  <si>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</si>
  <si>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</si>
  <si>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</si>
  <si>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</si>
  <si>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</si>
  <si>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</si>
  <si>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</si>
  <si>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</si>
  <si>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</si>
  <si>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</si>
  <si>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</si>
  <si>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</si>
  <si>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</si>
  <si>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</si>
  <si>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</si>
  <si>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</si>
  <si>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</si>
  <si>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</si>
  <si>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</si>
  <si>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</si>
  <si>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</si>
  <si>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</si>
  <si>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</si>
  <si>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</si>
  <si>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</si>
  <si>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</si>
  <si>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</si>
  <si>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</si>
  <si>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</si>
  <si>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</si>
  <si>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</si>
  <si>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</si>
  <si>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</si>
  <si>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</si>
  <si>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</si>
  <si>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</si>
  <si>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</si>
  <si>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</si>
  <si>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</si>
  <si>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</si>
  <si>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</si>
  <si>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</si>
  <si>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</si>
  <si>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</si>
  <si>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</si>
  <si>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</si>
  <si>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</si>
  <si>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</si>
  <si>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</si>
  <si>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</si>
  <si>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</si>
  <si>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</si>
  <si>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</si>
  <si>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</si>
  <si>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</si>
  <si>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</si>
  <si>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</si>
  <si>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</si>
  <si>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</si>
  <si>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</si>
  <si>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</si>
  <si>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</si>
  <si>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</si>
  <si>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</si>
  <si>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</si>
  <si>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</si>
  <si>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</si>
  <si>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</si>
  <si>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</si>
  <si>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</si>
  <si>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</si>
  <si>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</si>
  <si>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</si>
  <si>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</si>
  <si>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</si>
  <si>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</si>
  <si>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</si>
  <si>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</si>
  <si>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</si>
  <si>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</si>
  <si>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</si>
  <si>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</si>
  <si>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</si>
  <si>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</si>
  <si>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</si>
  <si>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</si>
  <si>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</si>
  <si>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</si>
  <si>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</si>
  <si>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</si>
  <si>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</si>
  <si>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</si>
  <si>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</si>
  <si>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</si>
  <si>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</si>
  <si>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</si>
  <si>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Gulf Bank Road</t>
  </si>
  <si>
    <t>IH-45</t>
  </si>
  <si>
    <t>Hardy Toll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</si>
</sst>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C21" sqref="C21"/>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21" t="s">
        <v>282</v>
      </c>
      <c r="D10" s="64"/>
      <c r="E10" s="9"/>
      <c r="F10" t="s">
        <v>258</v>
      </c>
    </row>
    <row r="11" spans="2:19" x14ac:dyDescent="0.25">
      <c r="B11" s="4" t="s">
        <v>115</v>
      </c>
      <c r="C11" s="121" t="s">
        <v>283</v>
      </c>
      <c r="D11" s="64"/>
    </row>
    <row r="12" spans="2:19" x14ac:dyDescent="0.25">
      <c r="B12" s="4" t="s">
        <v>116</v>
      </c>
      <c r="C12" s="121">
        <v>2.2999999999999998</v>
      </c>
      <c r="D12" s="95"/>
      <c r="N12" s="180"/>
      <c r="O12" s="180"/>
      <c r="P12" s="180"/>
      <c r="Q12" s="180"/>
      <c r="R12" s="180"/>
      <c r="S12" s="180"/>
    </row>
    <row r="13" spans="2:19" x14ac:dyDescent="0.25">
      <c r="B13" s="4" t="s">
        <v>77</v>
      </c>
      <c r="C13" s="121">
        <v>161</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ht="30" x14ac:dyDescent="0.25">
      <c r="B18" s="4" t="s">
        <v>259</v>
      </c>
      <c r="C18" s="120" t="s">
        <v>185</v>
      </c>
      <c r="D18" s="26"/>
    </row>
    <row r="19" spans="2:13" x14ac:dyDescent="0.25">
      <c r="B19" s="122" t="s">
        <v>251</v>
      </c>
      <c r="C19" s="174">
        <f>VLOOKUP(C18,'CRF Lookup Table'!C3:F84,2, FALSE)</f>
        <v>538</v>
      </c>
      <c r="D19" s="97"/>
    </row>
    <row r="20" spans="2:13" x14ac:dyDescent="0.25">
      <c r="B20" s="122" t="s">
        <v>102</v>
      </c>
      <c r="C20" s="175">
        <f>VLOOKUP(C18,'CRF Lookup Table'!C3:F84,3, FALSE)</f>
        <v>0.45</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14607</v>
      </c>
      <c r="D25" s="99"/>
      <c r="I25" s="49"/>
    </row>
    <row r="26" spans="2:13" x14ac:dyDescent="0.25">
      <c r="I26" s="49"/>
    </row>
    <row r="27" spans="2:13" x14ac:dyDescent="0.25">
      <c r="B27" s="86" t="s">
        <v>269</v>
      </c>
      <c r="C27" s="87">
        <v>7060</v>
      </c>
      <c r="D27" s="99"/>
      <c r="I27" s="49"/>
    </row>
    <row r="28" spans="2:13" x14ac:dyDescent="0.25">
      <c r="B28" s="86" t="s">
        <v>150</v>
      </c>
      <c r="C28" s="87">
        <v>11872</v>
      </c>
      <c r="D28" s="99"/>
      <c r="I28" s="49"/>
    </row>
    <row r="29" spans="2:13" x14ac:dyDescent="0.25">
      <c r="B29" s="86" t="s">
        <v>270</v>
      </c>
      <c r="C29" s="88">
        <v>8341</v>
      </c>
      <c r="D29" s="69"/>
      <c r="I29" s="49"/>
    </row>
    <row r="30" spans="2:13" x14ac:dyDescent="0.25">
      <c r="B30" s="86" t="s">
        <v>151</v>
      </c>
      <c r="C30" s="88">
        <v>23100</v>
      </c>
      <c r="D30" s="69"/>
      <c r="I30" s="49"/>
    </row>
    <row r="31" spans="2:13" x14ac:dyDescent="0.25">
      <c r="B31" s="86" t="s">
        <v>271</v>
      </c>
      <c r="C31" s="87">
        <v>16355</v>
      </c>
      <c r="D31" s="99"/>
      <c r="H31" s="70"/>
    </row>
    <row r="32" spans="2:13" x14ac:dyDescent="0.25">
      <c r="B32" s="86" t="s">
        <v>152</v>
      </c>
      <c r="C32" s="87">
        <v>23100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22755.427099372417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17257.363597733722</v>
      </c>
      <c r="G4" s="183" t="s">
        <v>260</v>
      </c>
      <c r="H4" s="183"/>
      <c r="I4" s="183"/>
      <c r="J4" s="183"/>
      <c r="L4" s="136"/>
      <c r="M4" s="137">
        <v>2018</v>
      </c>
      <c r="N4" s="138">
        <f>_2018_Volume_ADT</f>
        <v>14607</v>
      </c>
      <c r="O4" s="139" t="s">
        <v>85</v>
      </c>
      <c r="P4" s="140">
        <f>MIN(B12,1)</f>
        <v>0.59467654986522911</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39691.936274787557</v>
      </c>
      <c r="G5" s="184" t="s">
        <v>261</v>
      </c>
      <c r="H5" s="184"/>
      <c r="I5" s="184"/>
      <c r="J5" s="143">
        <f>SUMPRODUCT(Possible_Crash_Reductions,'Value of Statistical Life'!E5:E11)</f>
        <v>2475550.3790755835</v>
      </c>
      <c r="L5" s="136"/>
      <c r="M5" s="144">
        <f t="shared" ref="M5:M36" si="1">M4+1</f>
        <v>2019</v>
      </c>
      <c r="N5" s="145">
        <f>N4+(N4*O5)</f>
        <v>14959.111648171354</v>
      </c>
      <c r="O5" s="146">
        <f t="shared" ref="O5:O11" si="2">IF(ISERROR(_2025_2045_Demand_Growth),_2018_2045_Demand_Growth,_2018_2025_Demand_Growth)</f>
        <v>2.4105678658954854E-2</v>
      </c>
      <c r="P5" s="147">
        <f t="shared" ref="P5:P11" si="3">P4*(1+IFERROR(_2018_2025_V_C_Growth,_2018_2045_V_C_Growth))</f>
        <v>0.55376727644457091</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10319903.431444764</v>
      </c>
      <c r="L6" s="136"/>
      <c r="M6" s="137">
        <f t="shared" si="1"/>
        <v>2020</v>
      </c>
      <c r="N6" s="145">
        <f t="shared" ref="N6:N36" si="6">N5+(N5*O6)</f>
        <v>15319.711186585602</v>
      </c>
      <c r="O6" s="146">
        <f t="shared" si="2"/>
        <v>2.4105678658954854E-2</v>
      </c>
      <c r="P6" s="147">
        <f t="shared" si="3"/>
        <v>0.51567225331204913</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15689.003221597432</v>
      </c>
      <c r="O7" s="146">
        <f t="shared" si="2"/>
        <v>2.4105678658954854E-2</v>
      </c>
      <c r="P7" s="147">
        <f t="shared" si="3"/>
        <v>0.48019788121688173</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16067.197291736567</v>
      </c>
      <c r="O8" s="146">
        <f t="shared" si="2"/>
        <v>2.4105678658954854E-2</v>
      </c>
      <c r="P8" s="147">
        <f t="shared" si="3"/>
        <v>0.44716387908046967</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2.4105678658954854E-2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16454.507986601198</v>
      </c>
      <c r="O9" s="146">
        <f t="shared" si="2"/>
        <v>2.4105678658954854E-2</v>
      </c>
      <c r="P9" s="147">
        <f t="shared" si="3"/>
        <v>0.41640236780633111</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3.4240692854217381E-2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16851.155068617412</v>
      </c>
      <c r="O10" s="146">
        <f t="shared" si="2"/>
        <v>2.4105678658954854E-2</v>
      </c>
      <c r="P10" s="147">
        <f t="shared" si="3"/>
        <v>0.38775701711702071</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3.1603505299034218E-2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17257.363597733722</v>
      </c>
      <c r="O11" s="146">
        <f t="shared" si="2"/>
        <v>2.4105678658954854E-2</v>
      </c>
      <c r="P11" s="147">
        <f t="shared" si="3"/>
        <v>0.36108225108225106</v>
      </c>
      <c r="Q11" s="148">
        <f t="shared" si="4"/>
        <v>1</v>
      </c>
      <c r="R11" s="37">
        <f>IF(M11=Year_Open_to_Traffic?,Calculations!$J$5,Calculations!R10+(Calculations!R10*Calculations!O11*Q11))</f>
        <v>2475550.3790755835</v>
      </c>
      <c r="S11" s="54">
        <f t="shared" si="0"/>
        <v>1</v>
      </c>
      <c r="T11" s="37">
        <f t="shared" si="5"/>
        <v>2475.5503790755834</v>
      </c>
      <c r="U11" s="142">
        <f>T11/(1+Real_Discount_Rate)^(Calculations!M11-'Assumed Values'!$C$5)</f>
        <v>1541.6483595916211</v>
      </c>
    </row>
    <row r="12" spans="1:21" ht="15.75" x14ac:dyDescent="0.25">
      <c r="A12" s="152" t="s">
        <v>75</v>
      </c>
      <c r="B12" s="156">
        <f>'Inputs &amp; Outputs'!C27/_2018_Peak_Period_Capacity</f>
        <v>0.59467654986522911</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17848.267684157276</v>
      </c>
      <c r="O12" s="146">
        <f t="shared" ref="O12:O36" si="7">IFERROR(_2025_2045_Demand_Growth,_2018_2045_Demand_Growth)</f>
        <v>3.4240692854217381E-2</v>
      </c>
      <c r="P12" s="147">
        <f t="shared" ref="P12:P36" si="8">P11*(1+IFERROR(_2025_2040_V_C_Growth,_2018_2045_V_C_Growth))</f>
        <v>0.37344595753666782</v>
      </c>
      <c r="Q12" s="148">
        <f t="shared" si="4"/>
        <v>1</v>
      </c>
      <c r="R12" s="37">
        <f>IF(M12=Year_Open_to_Traffic?,Calculations!$J$5,Calculations!R11+(Calculations!R11*Calculations!O12*Q12))</f>
        <v>2560314.9392506522</v>
      </c>
      <c r="S12" s="54">
        <f t="shared" si="0"/>
        <v>1</v>
      </c>
      <c r="T12" s="37">
        <f t="shared" si="5"/>
        <v>2560.3149392506521</v>
      </c>
      <c r="U12" s="142">
        <f>T12/(1+Real_Discount_Rate)^(Calculations!M12-'Assumed Values'!$C$5)</f>
        <v>1490.1266051977627</v>
      </c>
    </row>
    <row r="13" spans="1:21" ht="15.75" x14ac:dyDescent="0.25">
      <c r="A13" s="152" t="s">
        <v>74</v>
      </c>
      <c r="B13" s="156">
        <f>_2025_Peak_Period_Volume/_2025_Peak_Period_Capacity</f>
        <v>0.36108225108225106</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18459.404735910357</v>
      </c>
      <c r="O13" s="146">
        <f t="shared" si="7"/>
        <v>3.4240692854217381E-2</v>
      </c>
      <c r="P13" s="147">
        <f t="shared" si="8"/>
        <v>0.38623300586632997</v>
      </c>
      <c r="Q13" s="148">
        <f t="shared" si="4"/>
        <v>1</v>
      </c>
      <c r="R13" s="37">
        <f>IF(M13=Year_Open_to_Traffic?,Calculations!$J$5,Calculations!R12+(Calculations!R12*Calculations!O13*Q13))</f>
        <v>2647981.896695598</v>
      </c>
      <c r="S13" s="54">
        <f t="shared" si="0"/>
        <v>1</v>
      </c>
      <c r="T13" s="37">
        <f t="shared" si="5"/>
        <v>2647.9818966955982</v>
      </c>
      <c r="U13" s="142">
        <f>T13/(1+Real_Discount_Rate)^(Calculations!M13-'Assumed Values'!$C$5)</f>
        <v>1440.3267033647076</v>
      </c>
    </row>
    <row r="14" spans="1:21" ht="15.75" x14ac:dyDescent="0.25">
      <c r="A14" s="152" t="s">
        <v>148</v>
      </c>
      <c r="B14" s="156">
        <f>_2045_Peak_Period_Volume/_2045_Peak_Period_Capacity</f>
        <v>0.70800865800865798</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19091.467543744347</v>
      </c>
      <c r="O14" s="146">
        <f t="shared" si="7"/>
        <v>3.4240692854217381E-2</v>
      </c>
      <c r="P14" s="147">
        <f>P13*(1+IFERROR(_2025_2040_V_C_Growth,_2018_2045_V_C_Growth))</f>
        <v>0.3994578915903601</v>
      </c>
      <c r="Q14" s="148">
        <f t="shared" si="4"/>
        <v>1</v>
      </c>
      <c r="R14" s="37">
        <f>IF(M14=Year_Open_to_Traffic?,Calculations!$J$5,Calculations!R13+(Calculations!R13*Calculations!O14*Q14))</f>
        <v>2738650.63150388</v>
      </c>
      <c r="S14" s="54">
        <f t="shared" si="0"/>
        <v>1</v>
      </c>
      <c r="T14" s="37">
        <f t="shared" si="5"/>
        <v>2738.65063150388</v>
      </c>
      <c r="U14" s="142">
        <f>T14/(1+Real_Discount_Rate)^(Calculations!M14-'Assumed Values'!$C$5)</f>
        <v>1392.1911099292954</v>
      </c>
    </row>
    <row r="15" spans="1:21" ht="15.75" x14ac:dyDescent="0.25">
      <c r="A15" s="152" t="s">
        <v>80</v>
      </c>
      <c r="B15" s="153">
        <f>(B13/B12)^(1/(2025-2018))-1</f>
        <v>-6.8792477910772476E-2</v>
      </c>
      <c r="L15" s="136"/>
      <c r="M15" s="144">
        <f>M14+1</f>
        <v>2029</v>
      </c>
      <c r="N15" s="145">
        <f t="shared" si="6"/>
        <v>19745.172620045956</v>
      </c>
      <c r="O15" s="146">
        <f t="shared" si="7"/>
        <v>3.4240692854217381E-2</v>
      </c>
      <c r="P15" s="147">
        <f>P14*(1+IFERROR(_2025_2040_V_C_Growth,_2018_2045_V_C_Growth))</f>
        <v>0.41313560656449888</v>
      </c>
      <c r="Q15" s="148">
        <f t="shared" si="4"/>
        <v>1</v>
      </c>
      <c r="R15" s="37">
        <f>IF(M15=Year_Open_to_Traffic?,Calculations!$J$5,Calculations!R14+(Calculations!R14*Calculations!O15*Q15))</f>
        <v>2832423.9266122128</v>
      </c>
      <c r="S15" s="54">
        <f t="shared" si="0"/>
        <v>1</v>
      </c>
      <c r="T15" s="37">
        <f t="shared" si="5"/>
        <v>2832.4239266122127</v>
      </c>
      <c r="U15" s="142">
        <f>T15/(1+Real_Discount_Rate)^(Calculations!M15-'Assumed Values'!$C$5)</f>
        <v>1345.6642038493046</v>
      </c>
    </row>
    <row r="16" spans="1:21" ht="15.75" x14ac:dyDescent="0.25">
      <c r="A16" s="152" t="s">
        <v>108</v>
      </c>
      <c r="B16" s="153">
        <f>(B14/B13)^(1/(2045-2025))-1</f>
        <v>3.4240692854217381E-2</v>
      </c>
      <c r="D16" s="157" t="s">
        <v>136</v>
      </c>
      <c r="E16" s="151"/>
      <c r="L16" s="136"/>
      <c r="M16" s="137">
        <f t="shared" si="1"/>
        <v>2030</v>
      </c>
      <c r="N16" s="145">
        <f t="shared" si="6"/>
        <v>20421.261011082453</v>
      </c>
      <c r="O16" s="146">
        <f t="shared" si="7"/>
        <v>3.4240692854217381E-2</v>
      </c>
      <c r="P16" s="147">
        <f t="shared" si="8"/>
        <v>0.4272816559760147</v>
      </c>
      <c r="Q16" s="148">
        <f t="shared" si="4"/>
        <v>1</v>
      </c>
      <c r="R16" s="37">
        <f>IF(M16=Year_Open_to_Traffic?,Calculations!$J$5,Calculations!R15+(Calculations!R15*Calculations!O16*Q16))</f>
        <v>2929408.0843162779</v>
      </c>
      <c r="S16" s="54">
        <f t="shared" si="0"/>
        <v>1</v>
      </c>
      <c r="T16" s="37">
        <f t="shared" si="5"/>
        <v>2929.4080843162778</v>
      </c>
      <c r="U16" s="142">
        <f>T16/(1+Real_Discount_Rate)^(Calculations!M16-'Assumed Values'!$C$5)</f>
        <v>1300.6922229329195</v>
      </c>
    </row>
    <row r="17" spans="1:21" ht="15.75" x14ac:dyDescent="0.25">
      <c r="A17" s="152" t="s">
        <v>109</v>
      </c>
      <c r="B17" s="153">
        <f>(B14/B12)^(1/(2045-2018))-1</f>
        <v>6.4816070793063396E-3</v>
      </c>
      <c r="D17" s="152" t="s">
        <v>89</v>
      </c>
      <c r="E17" s="158">
        <f>($E$6*Death_Rate)/100000000</f>
        <v>0.18014156711806342</v>
      </c>
      <c r="L17" s="136"/>
      <c r="M17" s="144">
        <f t="shared" si="1"/>
        <v>2031</v>
      </c>
      <c r="N17" s="145">
        <f t="shared" si="6"/>
        <v>21120.499137058734</v>
      </c>
      <c r="O17" s="146">
        <f t="shared" si="7"/>
        <v>3.4240692854217381E-2</v>
      </c>
      <c r="P17" s="147">
        <f t="shared" si="8"/>
        <v>0.44191207592053078</v>
      </c>
      <c r="Q17" s="148">
        <f t="shared" si="4"/>
        <v>1</v>
      </c>
      <c r="R17" s="37">
        <f>IF(M17=Year_Open_to_Traffic?,Calculations!$J$5,Calculations!R16+(Calculations!R16*Calculations!O17*Q17))</f>
        <v>3029713.046776013</v>
      </c>
      <c r="S17" s="54">
        <f t="shared" si="0"/>
        <v>1</v>
      </c>
      <c r="T17" s="37">
        <f t="shared" si="5"/>
        <v>3029.713046776013</v>
      </c>
      <c r="U17" s="142">
        <f>T17/(1+Real_Discount_Rate)^(Calculations!M17-'Assumed Values'!$C$5)</f>
        <v>1257.2232017161073</v>
      </c>
    </row>
    <row r="18" spans="1:21" ht="15.75" x14ac:dyDescent="0.25">
      <c r="D18" s="152" t="s">
        <v>94</v>
      </c>
      <c r="E18" s="158">
        <f>($E$6*Incap_Injry_Rate)/100000000</f>
        <v>0.91058656669033999</v>
      </c>
      <c r="L18" s="136"/>
      <c r="M18" s="137">
        <f t="shared" si="1"/>
        <v>2032</v>
      </c>
      <c r="N18" s="145">
        <f t="shared" si="6"/>
        <v>21843.679660938524</v>
      </c>
      <c r="O18" s="146">
        <f t="shared" si="7"/>
        <v>3.4240692854217381E-2</v>
      </c>
      <c r="P18" s="147">
        <f t="shared" si="8"/>
        <v>0.45704345158069526</v>
      </c>
      <c r="Q18" s="148">
        <f t="shared" si="4"/>
        <v>1</v>
      </c>
      <c r="R18" s="37">
        <f>IF(M18=Year_Open_to_Traffic?,Calculations!$J$5,Calculations!R17+(Calculations!R17*Calculations!O18*Q18))</f>
        <v>3133452.5206470857</v>
      </c>
      <c r="S18" s="54">
        <f t="shared" si="0"/>
        <v>1</v>
      </c>
      <c r="T18" s="37">
        <f t="shared" si="5"/>
        <v>3133.4525206470857</v>
      </c>
      <c r="U18" s="142">
        <f>T18/(1+Real_Discount_Rate)^(Calculations!M18-'Assumed Values'!$C$5)</f>
        <v>1215.206911416135</v>
      </c>
    </row>
    <row r="19" spans="1:21" ht="15.75" x14ac:dyDescent="0.25">
      <c r="D19" s="152" t="s">
        <v>93</v>
      </c>
      <c r="E19" s="158">
        <f>($E$6*Nonincap_Injry_Rate)/100000000</f>
        <v>5.1375212738412861</v>
      </c>
      <c r="L19" s="136"/>
      <c r="M19" s="144">
        <f t="shared" si="1"/>
        <v>2033</v>
      </c>
      <c r="N19" s="145">
        <f t="shared" si="6"/>
        <v>22591.622387014635</v>
      </c>
      <c r="O19" s="146">
        <f t="shared" si="7"/>
        <v>3.4240692854217381E-2</v>
      </c>
      <c r="P19" s="147">
        <f t="shared" si="8"/>
        <v>0.47269293602730122</v>
      </c>
      <c r="Q19" s="148">
        <f t="shared" si="4"/>
        <v>1</v>
      </c>
      <c r="R19" s="37">
        <f>IF(M19=Year_Open_to_Traffic?,Calculations!$J$5,Calculations!R18+(Calculations!R18*Calculations!O19*Q19))</f>
        <v>3240744.1059798356</v>
      </c>
      <c r="S19" s="54">
        <f t="shared" si="0"/>
        <v>1</v>
      </c>
      <c r="T19" s="37">
        <f t="shared" si="5"/>
        <v>3240.7441059798357</v>
      </c>
      <c r="U19" s="142">
        <f>T19/(1+Real_Discount_Rate)^(Calculations!M19-'Assumed Values'!$C$5)</f>
        <v>1174.5948018918289</v>
      </c>
    </row>
    <row r="20" spans="1:21" ht="15.75" x14ac:dyDescent="0.25">
      <c r="D20" s="152" t="s">
        <v>92</v>
      </c>
      <c r="E20" s="158">
        <f>($E$6*Poss_Injry_Rate/100000000)</f>
        <v>12.825498476976703</v>
      </c>
      <c r="L20" s="136"/>
      <c r="M20" s="137">
        <f t="shared" si="1"/>
        <v>2034</v>
      </c>
      <c r="N20" s="145">
        <f t="shared" si="6"/>
        <v>23365.175190246864</v>
      </c>
      <c r="O20" s="146">
        <f t="shared" si="7"/>
        <v>3.4240692854217381E-2</v>
      </c>
      <c r="P20" s="147">
        <f t="shared" si="8"/>
        <v>0.48887826966417025</v>
      </c>
      <c r="Q20" s="148">
        <f t="shared" si="4"/>
        <v>1</v>
      </c>
      <c r="R20" s="37">
        <f>IF(M20=Year_Open_to_Traffic?,Calculations!$J$5,Calculations!R19+(Calculations!R19*Calculations!O20*Q20))</f>
        <v>3351709.4295318066</v>
      </c>
      <c r="S20" s="54">
        <f t="shared" si="0"/>
        <v>1</v>
      </c>
      <c r="T20" s="37">
        <f t="shared" si="5"/>
        <v>3351.7094295318066</v>
      </c>
      <c r="U20" s="142">
        <f>T20/(1+Real_Discount_Rate)^(Calculations!M20-'Assumed Values'!$C$5)</f>
        <v>1135.339945543521</v>
      </c>
    </row>
    <row r="21" spans="1:21" ht="15.75" x14ac:dyDescent="0.25">
      <c r="D21" s="152" t="s">
        <v>91</v>
      </c>
      <c r="E21" s="158">
        <f>($E$6*Non_Injry_Rate)/100000000</f>
        <v>99.448604882100426</v>
      </c>
      <c r="L21" s="136"/>
      <c r="M21" s="144">
        <f>M20+1</f>
        <v>2035</v>
      </c>
      <c r="N21" s="145">
        <f t="shared" si="6"/>
        <v>24165.214977421088</v>
      </c>
      <c r="O21" s="146">
        <f t="shared" si="7"/>
        <v>3.4240692854217381E-2</v>
      </c>
      <c r="P21" s="147">
        <f>P20*(1+IFERROR(_2025_2040_V_C_Growth,_2018_2045_V_C_Growth))</f>
        <v>0.5056178003388424</v>
      </c>
      <c r="Q21" s="148">
        <f t="shared" si="4"/>
        <v>1</v>
      </c>
      <c r="R21" s="37">
        <f>IF(M21=Year_Open_to_Traffic?,Calculations!$J$5,Calculations!R20+(Calculations!R20*Calculations!O21*Q21))</f>
        <v>3466474.2826449894</v>
      </c>
      <c r="S21" s="54">
        <f t="shared" si="0"/>
        <v>1</v>
      </c>
      <c r="T21" s="37">
        <f t="shared" si="5"/>
        <v>3466.4742826449892</v>
      </c>
      <c r="U21" s="142">
        <f>T21/(1+Real_Discount_Rate)^(Calculations!M21-'Assumed Values'!$C$5)</f>
        <v>1097.3969830878509</v>
      </c>
    </row>
    <row r="22" spans="1:21" ht="15.75" x14ac:dyDescent="0.25">
      <c r="D22" s="152" t="s">
        <v>90</v>
      </c>
      <c r="E22" s="158">
        <f>($E$6*Unkn_Injry_Rate)/100000000</f>
        <v>8.6293621667846505</v>
      </c>
      <c r="L22" s="136"/>
      <c r="M22" s="137">
        <f>M21+1</f>
        <v>2036</v>
      </c>
      <c r="N22" s="145">
        <f t="shared" si="6"/>
        <v>24992.648681219096</v>
      </c>
      <c r="O22" s="146">
        <f t="shared" si="7"/>
        <v>3.4240692854217381E-2</v>
      </c>
      <c r="P22" s="147">
        <f t="shared" si="8"/>
        <v>0.5229305041418697</v>
      </c>
      <c r="Q22" s="148">
        <f t="shared" si="4"/>
        <v>1</v>
      </c>
      <c r="R22" s="37">
        <f>IF(M22=Year_Open_to_Traffic?,Calculations!$J$5,Calculations!R21+(Calculations!R21*Calculations!O22*Q22))</f>
        <v>3585168.7638440803</v>
      </c>
      <c r="S22" s="54">
        <f t="shared" si="0"/>
        <v>1</v>
      </c>
      <c r="T22" s="37">
        <f t="shared" si="5"/>
        <v>3585.1687638440803</v>
      </c>
      <c r="U22" s="142">
        <f>T22/(1+Real_Discount_Rate)^(Calculations!M22-'Assumed Values'!$C$5)</f>
        <v>1060.7220711447728</v>
      </c>
    </row>
    <row r="23" spans="1:21" ht="15.75" x14ac:dyDescent="0.25">
      <c r="L23" s="136"/>
      <c r="M23" s="144">
        <f t="shared" si="1"/>
        <v>2037</v>
      </c>
      <c r="N23" s="145">
        <f t="shared" si="6"/>
        <v>25848.414288326079</v>
      </c>
      <c r="O23" s="146">
        <f t="shared" si="7"/>
        <v>3.4240692854217381E-2</v>
      </c>
      <c r="P23" s="147">
        <f t="shared" si="8"/>
        <v>0.54083600691829248</v>
      </c>
      <c r="Q23" s="148">
        <f t="shared" si="4"/>
        <v>1</v>
      </c>
      <c r="R23" s="37">
        <f>IF(M23=Year_Open_to_Traffic?,Calculations!$J$5,Calculations!R22+(Calculations!R22*Calculations!O23*Q23))</f>
        <v>3707927.4263173998</v>
      </c>
      <c r="S23" s="54">
        <f t="shared" si="0"/>
        <v>1</v>
      </c>
      <c r="T23" s="37">
        <f t="shared" si="5"/>
        <v>3707.9274263173997</v>
      </c>
      <c r="U23" s="142">
        <f>T23/(1+Real_Discount_Rate)^(Calculations!M23-'Assumed Values'!$C$5)</f>
        <v>1025.2728315761965</v>
      </c>
    </row>
    <row r="24" spans="1:21" ht="15.75" x14ac:dyDescent="0.25">
      <c r="L24" s="136"/>
      <c r="M24" s="137">
        <f t="shared" si="1"/>
        <v>2038</v>
      </c>
      <c r="N24" s="145">
        <f t="shared" si="6"/>
        <v>26733.481902741216</v>
      </c>
      <c r="O24" s="146">
        <f t="shared" si="7"/>
        <v>3.4240692854217381E-2</v>
      </c>
      <c r="P24" s="147">
        <f t="shared" si="8"/>
        <v>0.55935460651568314</v>
      </c>
      <c r="Q24" s="148">
        <f t="shared" si="4"/>
        <v>1</v>
      </c>
      <c r="R24" s="37">
        <f>IF(M24=Year_Open_to_Traffic?,Calculations!$J$5,Calculations!R23+(Calculations!R23*Calculations!O24*Q24))</f>
        <v>3834889.4304476627</v>
      </c>
      <c r="S24" s="54">
        <f t="shared" si="0"/>
        <v>1</v>
      </c>
      <c r="T24" s="37">
        <f t="shared" si="5"/>
        <v>3834.8894304476626</v>
      </c>
      <c r="U24" s="142">
        <f>T24/(1+Real_Discount_Rate)^(Calculations!M24-'Assumed Values'!$C$5)</f>
        <v>991.00830251772982</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27648.854845496757</v>
      </c>
      <c r="O25" s="146">
        <f t="shared" si="7"/>
        <v>3.4240692854217381E-2</v>
      </c>
      <c r="P25" s="147">
        <f t="shared" si="8"/>
        <v>0.5785072957939783</v>
      </c>
      <c r="Q25" s="148">
        <f t="shared" si="4"/>
        <v>1</v>
      </c>
      <c r="R25" s="37">
        <f>IF(M25=Year_Open_to_Traffic?,Calculations!$J$5,Calculations!R24+(Calculations!R24*Calculations!O25*Q25))</f>
        <v>3966198.7015655059</v>
      </c>
      <c r="S25" s="54">
        <f t="shared" si="0"/>
        <v>1</v>
      </c>
      <c r="T25" s="37">
        <f t="shared" si="5"/>
        <v>3966.1987015655059</v>
      </c>
      <c r="U25" s="142">
        <f>T25/(1+Real_Discount_Rate)^(Calculations!M25-'Assumed Values'!$C$5)</f>
        <v>957.8888910469334</v>
      </c>
    </row>
    <row r="26" spans="1:21" ht="15.75" x14ac:dyDescent="0.25">
      <c r="A26" s="181"/>
      <c r="B26" s="181"/>
      <c r="D26" s="160">
        <f>Calculations!E17</f>
        <v>0.18014156711806342</v>
      </c>
      <c r="E26" s="160">
        <f>Calculations!E18</f>
        <v>0.91058656669033999</v>
      </c>
      <c r="F26" s="160">
        <f>Calculations!E19</f>
        <v>5.1375212738412861</v>
      </c>
      <c r="G26" s="160">
        <f>Calculations!E20</f>
        <v>12.825498476976703</v>
      </c>
      <c r="H26" s="160">
        <f>Calculations!E21</f>
        <v>99.448604882100426</v>
      </c>
      <c r="I26" s="160">
        <f>Calculations!E22</f>
        <v>8.6293621667846505</v>
      </c>
      <c r="J26" s="182"/>
      <c r="L26" s="136"/>
      <c r="M26" s="137">
        <f t="shared" si="1"/>
        <v>2040</v>
      </c>
      <c r="N26" s="145">
        <f t="shared" si="6"/>
        <v>28595.570792032253</v>
      </c>
      <c r="O26" s="146">
        <f t="shared" si="7"/>
        <v>3.4240692854217381E-2</v>
      </c>
      <c r="P26" s="147">
        <f t="shared" si="8"/>
        <v>0.59831578642318384</v>
      </c>
      <c r="Q26" s="148">
        <f t="shared" si="4"/>
        <v>1</v>
      </c>
      <c r="R26" s="37">
        <f>IF(M26=Year_Open_to_Traffic?,Calculations!$J$5,Calculations!R25+(Calculations!R25*Calculations!O26*Q26))</f>
        <v>4102004.093104606</v>
      </c>
      <c r="S26" s="54">
        <f t="shared" si="0"/>
        <v>1</v>
      </c>
      <c r="T26" s="37">
        <f t="shared" si="5"/>
        <v>4102.004093104606</v>
      </c>
      <c r="U26" s="142">
        <f>T26/(1+Real_Discount_Rate)^(Calculations!M26-'Assumed Values'!$C$5)</f>
        <v>925.87632743340032</v>
      </c>
    </row>
    <row r="27" spans="1:21" ht="15.75" x14ac:dyDescent="0.25">
      <c r="A27" s="161" t="s">
        <v>95</v>
      </c>
      <c r="B27" s="162" t="s">
        <v>96</v>
      </c>
      <c r="D27" s="163">
        <f>D$26*'Value of Statistical Life'!D17*Appropriate_Crash_Reduction_Factor</f>
        <v>0</v>
      </c>
      <c r="E27" s="163">
        <f>E$26*'Value of Statistical Life'!E17*Appropriate_Crash_Reduction_Factor</f>
        <v>1.4083587133716142E-2</v>
      </c>
      <c r="F27" s="163">
        <f>F$26*'Value of Statistical Life'!F17*Appropriate_Crash_Reduction_Factor</f>
        <v>0.19297300532738948</v>
      </c>
      <c r="G27" s="163">
        <f>G$26*'Value of Statistical Life'!G17*Appropriate_Crash_Reduction_Factor</f>
        <v>1.3526604351220635</v>
      </c>
      <c r="H27" s="163">
        <f>H$26*'Value of Statistical Life'!H17*Appropriate_Crash_Reduction_Factor</f>
        <v>41.410697418721263</v>
      </c>
      <c r="I27" s="163">
        <f>I$26*'Value of Statistical Life'!I17*Appropriate_Crash_Reduction_Factor</f>
        <v>1.6960320989841888</v>
      </c>
      <c r="J27" s="163">
        <f t="shared" ref="J27:J33" si="9">SUM(D27:I27)</f>
        <v>44.666446545288622</v>
      </c>
      <c r="K27" s="164"/>
      <c r="L27" s="136"/>
      <c r="M27" s="144">
        <f t="shared" si="1"/>
        <v>2041</v>
      </c>
      <c r="N27" s="145">
        <f t="shared" si="6"/>
        <v>29574.702948513259</v>
      </c>
      <c r="O27" s="146">
        <f t="shared" si="7"/>
        <v>3.4240692854217381E-2</v>
      </c>
      <c r="P27" s="147">
        <f t="shared" si="8"/>
        <v>0.61880253349592962</v>
      </c>
      <c r="Q27" s="148">
        <f t="shared" si="4"/>
        <v>1</v>
      </c>
      <c r="R27" s="37">
        <f>IF(M27=Year_Open_to_Traffic?,Calculations!$J$5,Calculations!R26+(Calculations!R26*Calculations!O27*Q27))</f>
        <v>4242459.5553433429</v>
      </c>
      <c r="S27" s="54">
        <f t="shared" si="0"/>
        <v>1</v>
      </c>
      <c r="T27" s="37">
        <f t="shared" si="5"/>
        <v>4242.4595553433428</v>
      </c>
      <c r="U27" s="142">
        <f>T27/(1+Real_Discount_Rate)^(Calculations!M27-'Assumed Values'!$C$5)</f>
        <v>894.93362091779261</v>
      </c>
    </row>
    <row r="28" spans="1:21" ht="15.75" x14ac:dyDescent="0.25">
      <c r="A28" s="161" t="s">
        <v>61</v>
      </c>
      <c r="B28" s="165" t="s">
        <v>62</v>
      </c>
      <c r="D28" s="163">
        <f>D$26*'Value of Statistical Life'!D18*Appropriate_Crash_Reduction_Factor</f>
        <v>0</v>
      </c>
      <c r="E28" s="163">
        <f>E$26*'Value of Statistical Life'!E18*Appropriate_Crash_Reduction_Factor</f>
        <v>0.22721001541385699</v>
      </c>
      <c r="F28" s="163">
        <f>F$26*'Value of Statistical Life'!F18*Appropriate_Crash_Reduction_Factor</f>
        <v>1.7765214626060368</v>
      </c>
      <c r="G28" s="163">
        <f>G$26*'Value of Statistical Life'!G18*Appropriate_Crash_Reduction_Factor</f>
        <v>3.9792006809713607</v>
      </c>
      <c r="H28" s="163">
        <f>H$26*'Value of Statistical Life'!H18*Appropriate_Crash_Reduction_Factor</f>
        <v>3.2476433653323125</v>
      </c>
      <c r="I28" s="163">
        <f>I$26*'Value of Statistical Life'!I18*Appropriate_Crash_Reduction_Factor</f>
        <v>1.6208142636574103</v>
      </c>
      <c r="J28" s="163">
        <f t="shared" si="9"/>
        <v>10.851389787980978</v>
      </c>
      <c r="K28" s="164"/>
      <c r="L28" s="136"/>
      <c r="M28" s="137">
        <f t="shared" si="1"/>
        <v>2042</v>
      </c>
      <c r="N28" s="145">
        <f t="shared" si="6"/>
        <v>30587.36126842802</v>
      </c>
      <c r="O28" s="146">
        <f t="shared" si="7"/>
        <v>3.4240692854217381E-2</v>
      </c>
      <c r="P28" s="147">
        <f t="shared" si="8"/>
        <v>0.6399907609827753</v>
      </c>
      <c r="Q28" s="148">
        <f t="shared" si="4"/>
        <v>1</v>
      </c>
      <c r="R28" s="37">
        <f>IF(M28=Year_Open_to_Traffic?,Calculations!$J$5,Calculations!R27+(Calculations!R27*Calculations!O28*Q28))</f>
        <v>4387724.3099242942</v>
      </c>
      <c r="S28" s="54">
        <f t="shared" si="0"/>
        <v>1</v>
      </c>
      <c r="T28" s="37">
        <f t="shared" si="5"/>
        <v>4387.7243099242942</v>
      </c>
      <c r="U28" s="142">
        <f>T28/(1+Real_Discount_Rate)^(Calculations!M28-'Assumed Values'!$C$5)</f>
        <v>865.02501696873958</v>
      </c>
    </row>
    <row r="29" spans="1:21" ht="15.75" x14ac:dyDescent="0.25">
      <c r="A29" s="161" t="s">
        <v>63</v>
      </c>
      <c r="B29" s="165" t="s">
        <v>64</v>
      </c>
      <c r="D29" s="163">
        <f>D$26*'Value of Statistical Life'!D19*Appropriate_Crash_Reduction_Factor</f>
        <v>0</v>
      </c>
      <c r="E29" s="163">
        <f>E$26*'Value of Statistical Life'!E19*Appropriate_Crash_Reduction_Factor</f>
        <v>8.5673447713627324E-2</v>
      </c>
      <c r="F29" s="163">
        <f>F$26*'Value of Statistical Life'!F19*Appropriate_Crash_Reduction_Factor</f>
        <v>0.25194918079045053</v>
      </c>
      <c r="G29" s="163">
        <f>G$26*'Value of Statistical Life'!G19*Appropriate_Crash_Reduction_Factor</f>
        <v>0.36885492344861148</v>
      </c>
      <c r="H29" s="163">
        <f>H$26*'Value of Statistical Life'!H19*Appropriate_Crash_Reduction_Factor</f>
        <v>8.8608706949951488E-2</v>
      </c>
      <c r="I29" s="163">
        <f>I$26*'Value of Statistical Life'!I19*Appropriate_Crash_Reduction_Factor</f>
        <v>0.34451865514671037</v>
      </c>
      <c r="J29" s="163">
        <f t="shared" si="9"/>
        <v>1.1396049140493512</v>
      </c>
      <c r="K29" s="164"/>
      <c r="L29" s="136"/>
      <c r="M29" s="144">
        <f t="shared" si="1"/>
        <v>2043</v>
      </c>
      <c r="N29" s="145">
        <f t="shared" si="6"/>
        <v>31634.693710841249</v>
      </c>
      <c r="O29" s="146">
        <f t="shared" si="7"/>
        <v>3.4240692854217381E-2</v>
      </c>
      <c r="P29" s="147">
        <f t="shared" si="8"/>
        <v>0.66190448805912339</v>
      </c>
      <c r="Q29" s="148">
        <f t="shared" si="4"/>
        <v>1</v>
      </c>
      <c r="R29" s="37">
        <f>IF(M29=Year_Open_to_Traffic?,Calculations!$J$5,Calculations!R28+(Calculations!R28*Calculations!O29*Q29))</f>
        <v>4537963.0303493952</v>
      </c>
      <c r="S29" s="54">
        <f t="shared" si="0"/>
        <v>1</v>
      </c>
      <c r="T29" s="37">
        <f t="shared" si="5"/>
        <v>4537.963030349395</v>
      </c>
      <c r="U29" s="142">
        <f>T29/(1+Real_Discount_Rate)^(Calculations!M29-'Assumed Values'!$C$5)</f>
        <v>836.11595596820598</v>
      </c>
    </row>
    <row r="30" spans="1:21" ht="15.75" x14ac:dyDescent="0.25">
      <c r="A30" s="161" t="s">
        <v>65</v>
      </c>
      <c r="B30" s="165" t="s">
        <v>66</v>
      </c>
      <c r="D30" s="163">
        <f>D$26*'Value of Statistical Life'!D20*Appropriate_Crash_Reduction_Factor</f>
        <v>0</v>
      </c>
      <c r="E30" s="163">
        <f>E$26*'Value of Statistical Life'!E20*Appropriate_Crash_Reduction_Factor</f>
        <v>5.9157622184887973E-2</v>
      </c>
      <c r="F30" s="163">
        <f>F$26*'Value of Statistical Life'!F20*Appropriate_Crash_Reduction_Factor</f>
        <v>7.3772236731723964E-2</v>
      </c>
      <c r="G30" s="163">
        <f>G$26*'Value of Statistical Life'!G20*Appropriate_Crash_Reduction_Factor</f>
        <v>6.1812489909789228E-2</v>
      </c>
      <c r="H30" s="163">
        <f>H$26*'Value of Statistical Life'!H20*Appropriate_Crash_Reduction_Factor</f>
        <v>3.5801497757556155E-3</v>
      </c>
      <c r="I30" s="163">
        <f>I$26*'Value of Statistical Life'!I20*Appropriate_Crash_Reduction_Factor</f>
        <v>0.18705436900830746</v>
      </c>
      <c r="J30" s="163">
        <f t="shared" si="9"/>
        <v>0.38537686761046425</v>
      </c>
      <c r="K30" s="164"/>
      <c r="L30" s="136"/>
      <c r="M30" s="144">
        <f t="shared" si="1"/>
        <v>2044</v>
      </c>
      <c r="N30" s="145">
        <f t="shared" si="6"/>
        <v>32717.887541731408</v>
      </c>
      <c r="O30" s="146">
        <f t="shared" si="7"/>
        <v>3.4240692854217381E-2</v>
      </c>
      <c r="P30" s="147">
        <f t="shared" si="8"/>
        <v>0.68456855633358382</v>
      </c>
      <c r="Q30" s="148">
        <f t="shared" si="4"/>
        <v>1</v>
      </c>
      <c r="R30" s="37">
        <f>IF(M30=Year_Open_to_Traffic?,Calculations!$J$5,Calculations!R29+(Calculations!R29*Calculations!O30*Q30))</f>
        <v>4693346.0286553828</v>
      </c>
      <c r="S30" s="54">
        <f t="shared" si="0"/>
        <v>1</v>
      </c>
      <c r="T30" s="37">
        <f t="shared" si="5"/>
        <v>4693.3460286553827</v>
      </c>
      <c r="U30" s="142">
        <f>T30/(1+Real_Discount_Rate)^(Calculations!M30-'Assumed Values'!$C$5)</f>
        <v>808.17303327759237</v>
      </c>
    </row>
    <row r="31" spans="1:21" ht="15.75" x14ac:dyDescent="0.25">
      <c r="A31" s="161" t="s">
        <v>67</v>
      </c>
      <c r="B31" s="165" t="s">
        <v>68</v>
      </c>
      <c r="D31" s="163">
        <f>D$26*'Value of Statistical Life'!D21*Appropriate_Crash_Reduction_Factor</f>
        <v>0</v>
      </c>
      <c r="E31" s="163">
        <f>E$26*'Value of Statistical Life'!E21*Appropriate_Crash_Reduction_Factor</f>
        <v>1.6333191246724627E-2</v>
      </c>
      <c r="F31" s="163">
        <f>F$26*'Value of Statistical Life'!F21*Appropriate_Crash_Reduction_Factor</f>
        <v>1.4333684354017188E-2</v>
      </c>
      <c r="G31" s="163">
        <f>G$26*'Value of Statistical Life'!G21*Appropriate_Crash_Reduction_Factor</f>
        <v>8.1954935267881147E-3</v>
      </c>
      <c r="H31" s="163">
        <f>H$26*'Value of Statistical Life'!H21*Appropriate_Crash_Reduction_Factor</f>
        <v>0</v>
      </c>
      <c r="I31" s="163">
        <f>I$26*'Value of Statistical Life'!I21*Appropriate_Crash_Reduction_Factor</f>
        <v>2.3959424056077584E-2</v>
      </c>
      <c r="J31" s="163">
        <f t="shared" si="9"/>
        <v>6.2821793183607505E-2</v>
      </c>
      <c r="K31" s="164"/>
      <c r="L31" s="136"/>
      <c r="M31" s="144">
        <f t="shared" si="1"/>
        <v>2045</v>
      </c>
      <c r="N31" s="145">
        <f t="shared" si="6"/>
        <v>33838.170679886658</v>
      </c>
      <c r="O31" s="146">
        <f t="shared" si="7"/>
        <v>3.4240692854217381E-2</v>
      </c>
      <c r="P31" s="147">
        <f t="shared" si="8"/>
        <v>0.70800865800865709</v>
      </c>
      <c r="Q31" s="148">
        <f t="shared" si="4"/>
        <v>1</v>
      </c>
      <c r="R31" s="37">
        <f>IF(M31=Year_Open_to_Traffic?,Calculations!$J$5,Calculations!R30+(Calculations!R30*Calculations!O31*Q31))</f>
        <v>4854049.4484811323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7.3060913178399425E-3</v>
      </c>
      <c r="F32" s="163">
        <f>F$26*'Value of Statistical Life'!F22*Appropriate_Crash_Reduction_Factor</f>
        <v>2.3350034189608647E-3</v>
      </c>
      <c r="G32" s="163">
        <f>G$26*'Value of Statistical Life'!G22*Appropriate_Crash_Reduction_Factor</f>
        <v>7.5029166090313706E-4</v>
      </c>
      <c r="H32" s="163">
        <f>H$26*'Value of Statistical Life'!H22*Appropriate_Crash_Reduction_Factor</f>
        <v>1.3425561659083558E-3</v>
      </c>
      <c r="I32" s="163">
        <f>I$26*'Value of Statistical Life'!I22*Appropriate_Crash_Reduction_Factor</f>
        <v>1.0834164200398129E-2</v>
      </c>
      <c r="J32" s="163">
        <f t="shared" si="9"/>
        <v>2.2568106764010429E-2</v>
      </c>
      <c r="K32" s="164"/>
      <c r="L32" s="136"/>
      <c r="M32" s="144">
        <f t="shared" si="1"/>
        <v>2046</v>
      </c>
      <c r="N32" s="145">
        <f t="shared" si="6"/>
        <v>34996.813088885239</v>
      </c>
      <c r="O32" s="146">
        <f t="shared" si="7"/>
        <v>3.4240692854217381E-2</v>
      </c>
      <c r="P32" s="147">
        <f t="shared" si="8"/>
        <v>0.73225136500565813</v>
      </c>
      <c r="Q32" s="148">
        <f t="shared" si="4"/>
        <v>1</v>
      </c>
      <c r="R32" s="37">
        <f>IF(M32=Year_Open_to_Traffic?,Calculations!$J$5,Calculations!R31+(Calculations!R31*Calculations!O32*Q32))</f>
        <v>5020255.4647457581</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8.1063705203128542E-2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8.1063705203128542E-2</v>
      </c>
      <c r="K33" s="164"/>
      <c r="L33" s="136"/>
      <c r="M33" s="144">
        <f t="shared" si="1"/>
        <v>2047</v>
      </c>
      <c r="N33" s="145">
        <f t="shared" si="6"/>
        <v>36195.128216738216</v>
      </c>
      <c r="O33" s="146">
        <f t="shared" si="7"/>
        <v>3.4240692854217381E-2</v>
      </c>
      <c r="P33" s="147">
        <f t="shared" si="8"/>
        <v>0.75732415908689832</v>
      </c>
      <c r="Q33" s="148">
        <f t="shared" si="4"/>
        <v>1</v>
      </c>
      <c r="R33" s="37">
        <f>IF(M33=Year_Open_to_Traffic?,Calculations!$J$5,Calculations!R32+(Calculations!R32*Calculations!O33*Q33))</f>
        <v>5192152.4901638236</v>
      </c>
      <c r="S33" s="54">
        <f t="shared" si="0"/>
        <v>0</v>
      </c>
      <c r="T33" s="37">
        <f t="shared" si="5"/>
        <v>0</v>
      </c>
      <c r="U33" s="142">
        <f>T33/(1+Real_Discount_Rate)^(Calculations!M33-'Assumed Values'!$C$5)</f>
        <v>0</v>
      </c>
    </row>
    <row r="34" spans="1:21" ht="15.75" x14ac:dyDescent="0.25">
      <c r="J34" s="166"/>
      <c r="L34" s="136"/>
      <c r="M34" s="144">
        <f t="shared" si="1"/>
        <v>2048</v>
      </c>
      <c r="N34" s="145">
        <f t="shared" si="6"/>
        <v>37434.474484826569</v>
      </c>
      <c r="O34" s="146">
        <f t="shared" si="7"/>
        <v>3.4240692854217381E-2</v>
      </c>
      <c r="P34" s="147">
        <f t="shared" si="8"/>
        <v>0.78325546300927129</v>
      </c>
      <c r="Q34" s="148">
        <f t="shared" si="4"/>
        <v>1</v>
      </c>
      <c r="R34" s="37">
        <f>IF(M34=Year_Open_to_Traffic?,Calculations!$J$5,Calculations!R33+(Calculations!R33*Calculations!O34*Q34))</f>
        <v>5369935.3888317831</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38716.256827820551</v>
      </c>
      <c r="O35" s="146">
        <f t="shared" si="7"/>
        <v>3.4240692854217381E-2</v>
      </c>
      <c r="P35" s="147">
        <f t="shared" si="8"/>
        <v>0.81007467274455958</v>
      </c>
      <c r="Q35" s="148">
        <f t="shared" si="4"/>
        <v>1</v>
      </c>
      <c r="R35" s="37">
        <f>IF(M35=Year_Open_to_Traffic?,Calculations!$J$5,Calculations!R34+(Calculations!R34*Calculations!O35*Q35))</f>
        <v>5553805.6971277641</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40041.928286326947</v>
      </c>
      <c r="O36" s="146">
        <f t="shared" si="7"/>
        <v>3.4240692854217381E-2</v>
      </c>
      <c r="P36" s="147">
        <f t="shared" si="8"/>
        <v>0.83781219080298674</v>
      </c>
      <c r="Q36" s="148">
        <f t="shared" si="4"/>
        <v>1</v>
      </c>
      <c r="R36" s="37">
        <f>IF(M36=Year_Open_to_Traffic?,Calculations!$J$5,Calculations!R35+(Calculations!R35*Calculations!O36*Q36))</f>
        <v>5743971.8521751184</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22755.427099372417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34" workbookViewId="0">
      <selection activeCell="C32" sqref="C32:F32"/>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Arturo Villanueva</cp:lastModifiedBy>
  <cp:lastPrinted>2018-10-24T18:21:31Z</cp:lastPrinted>
  <dcterms:created xsi:type="dcterms:W3CDTF">2012-07-25T15:48:32Z</dcterms:created>
  <dcterms:modified xsi:type="dcterms:W3CDTF">2018-10-30T21:07:38Z</dcterms:modified>
</cp:coreProperties>
</file>