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Y:\City_of_Mont_Belvieu\6228-00_HGAC_TIP_Application_Support\04_ENGR\03_Documents\4. FM 565\New Benefit-Cost Per HGAC Model\"/>
    </mc:Choice>
  </mc:AlternateContent>
  <xr:revisionPtr revIDLastSave="0" documentId="13_ncr:1_{E1530CE5-CC04-4A54-ABAE-4EFB99EE72B9}" xr6:coauthVersionLast="36" xr6:coauthVersionMax="36" xr10:uidLastSave="{00000000-0000-0000-0000-000000000000}"/>
  <bookViews>
    <workbookView xWindow="0" yWindow="0" windowWidth="28800" windowHeight="1221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3">'Inputs &amp; Outputs'!$A$5:$J$38</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<sst xmlns="http://schemas.openxmlformats.org/spreadsheetml/2006/main" count="262" uniqueCount="130">
  <si>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</si>
  <si>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</si>
  <si>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</si>
  <si>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</si>
  <si>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</si>
  <si>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</si>
  <si>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</si>
  <si>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</si>
  <si>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</si>
  <si>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</si>
  <si>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</si>
  <si>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</si>
  <si>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</si>
  <si>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</si>
  <si>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</si>
  <si>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</si>
  <si>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</si>
  <si>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</si>
  <si>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</si>
  <si>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</si>
  <si>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</si>
  <si>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</si>
  <si>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</si>
  <si>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</si>
  <si>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</si>
  <si>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</si>
  <si>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</si>
  <si>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</si>
  <si>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</si>
  <si>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</si>
  <si>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</si>
  <si>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</si>
  <si>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</si>
  <si>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</si>
  <si>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</si>
  <si>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</si>
  <si>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</si>
  <si>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</si>
  <si>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</si>
  <si>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</si>
  <si>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</si>
  <si>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</si>
  <si>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</si>
  <si>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</si>
  <si>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</si>
  <si>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</si>
  <si>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</si>
  <si>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</si>
  <si>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</si>
  <si>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</si>
  <si>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</si>
  <si>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</si>
  <si>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</si>
  <si>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</si>
  <si>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</si>
  <si>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</si>
  <si>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</si>
  <si>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</si>
  <si>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</si>
  <si>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</si>
  <si>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</si>
  <si>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</si>
  <si>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</si>
  <si>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</si>
  <si>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</si>
  <si>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</si>
  <si>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</si>
  <si>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</si>
  <si>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</si>
  <si>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</si>
  <si>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</si>
  <si>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</si>
  <si>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</si>
  <si>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</si>
  <si>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</si>
  <si>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</si>
  <si>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</si>
  <si>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</si>
  <si>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</si>
  <si>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</si>
  <si>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</si>
  <si>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</si>
  <si>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</si>
  <si>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</si>
  <si>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</si>
  <si>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</si>
  <si>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</si>
  <si>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</si>
  <si>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</si>
  <si>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</si>
  <si>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</si>
  <si>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</si>
  <si>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</si>
  <si>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</si>
  <si>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</si>
  <si>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</si>
  <si>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</si>
  <si>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</si>
  <si>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</si>
  <si>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</si>
  <si>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</si>
  <si>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</si>
  <si>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</si>
  <si>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</si>
  <si>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</si>
  <si>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</si>
  <si>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</si>
  <si>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</si>
  <si>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</si>
  <si>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</si>
  <si>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</si>
  <si>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</si>
  <si>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</si>
  <si>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</si>
  <si>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</si>
  <si>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</si>
  <si>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</si>
  <si>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</si>
  <si>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</si>
  <si>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</si>
  <si>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</si>
  <si>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</si>
  <si>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</si>
  <si>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</si>
  <si>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</si>
  <si>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</si>
  <si>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</si>
  <si>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</si>
  <si>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</si>
  <si>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FM 565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</si>
</sst>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selection activeCell="J19" sqref="J19"/>
    </sheetView>
  </sheetViews>
  <sheetFormatPr defaultColWidth="9.140625"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c r="D7" s="98"/>
      <c r="E7" s="99" t="s">
        <v>127</v>
      </c>
    </row>
    <row r="8" spans="1:5" x14ac:dyDescent="0.25">
      <c r="A8" s="6" t="s">
        <v>52</v>
      </c>
      <c r="B8" s="6"/>
      <c r="D8" s="103"/>
      <c r="E8" s="99" t="s">
        <v>92</v>
      </c>
    </row>
    <row r="9" spans="1:5" x14ac:dyDescent="0.25">
      <c r="A9" s="6" t="s">
        <v>64</v>
      </c>
      <c r="B9" s="104" t="s">
        <v>68</v>
      </c>
      <c r="D9" s="105"/>
      <c r="E9" s="99" t="s">
        <v>93</v>
      </c>
    </row>
    <row r="11" spans="1:5" x14ac:dyDescent="0.25">
      <c r="A11" s="63"/>
      <c r="B11" s="63"/>
    </row>
    <row r="12" spans="1:5" x14ac:dyDescent="0.25">
      <c r="A12" s="102" t="s">
        <v>85</v>
      </c>
      <c r="B12" s="63"/>
    </row>
    <row r="13" spans="1:5" x14ac:dyDescent="0.25">
      <c r="A13" s="6" t="s">
        <v>56</v>
      </c>
      <c r="B13" s="45">
        <v>2022</v>
      </c>
    </row>
    <row r="14" spans="1:5" x14ac:dyDescent="0.25">
      <c r="A14" s="6" t="s">
        <v>86</v>
      </c>
      <c r="B14" s="6" t="s">
        <v>121</v>
      </c>
    </row>
    <row r="15" spans="1:5" x14ac:dyDescent="0.25">
      <c r="A15" s="106" t="s">
        <v>87</v>
      </c>
      <c r="B15" s="57" t="s">
        <v>75</v>
      </c>
    </row>
    <row r="16" spans="1:5" x14ac:dyDescent="0.25">
      <c r="A16" s="106" t="s">
        <v>88</v>
      </c>
      <c r="B16" s="57">
        <v>1.7</v>
      </c>
    </row>
    <row r="17" spans="1:3" x14ac:dyDescent="0.25">
      <c r="A17" s="107" t="s">
        <v>95</v>
      </c>
      <c r="B17" s="57">
        <v>30</v>
      </c>
    </row>
    <row r="18" spans="1:3" x14ac:dyDescent="0.25">
      <c r="A18" s="107" t="s">
        <v>96</v>
      </c>
      <c r="B18" s="57">
        <v>43</v>
      </c>
    </row>
    <row r="19" spans="1:3" x14ac:dyDescent="0.25">
      <c r="A19" s="96" t="s">
        <v>97</v>
      </c>
      <c r="B19" s="97">
        <f>VLOOKUP(B14,'Service Life'!C6:D8,2,FALSE)</f>
        <v>20</v>
      </c>
    </row>
    <row r="21" spans="1:3" x14ac:dyDescent="0.25">
      <c r="A21" s="102" t="s">
        <v>89</v>
      </c>
    </row>
    <row r="22" spans="1:3" ht="20.25" customHeight="1" x14ac:dyDescent="0.25">
      <c r="A22" s="107" t="s">
        <v>90</v>
      </c>
      <c r="B22" s="119">
        <v>21547</v>
      </c>
    </row>
    <row r="23" spans="1:3" ht="30" x14ac:dyDescent="0.25">
      <c r="A23" s="118" t="s">
        <v>101</v>
      </c>
      <c r="B23" s="120">
        <v>20943</v>
      </c>
    </row>
    <row r="24" spans="1:3" ht="30" x14ac:dyDescent="0.25">
      <c r="A24" s="118" t="s">
        <v>102</v>
      </c>
      <c r="B24" s="120">
        <v>24476</v>
      </c>
    </row>
    <row r="27" spans="1:3" ht="18.75" x14ac:dyDescent="0.3">
      <c r="A27" s="100" t="s">
        <v>55</v>
      </c>
      <c r="B27" s="101"/>
    </row>
    <row r="29" spans="1:3" x14ac:dyDescent="0.25">
      <c r="A29" s="108" t="s">
        <v>53</v>
      </c>
    </row>
    <row r="30" spans="1:3" x14ac:dyDescent="0.25">
      <c r="A30" s="105" t="s">
        <v>112</v>
      </c>
      <c r="B30" s="114">
        <f>'Benefit Calculations'!M37</f>
        <v>-6062.0018801005599</v>
      </c>
    </row>
    <row r="31" spans="1:3" x14ac:dyDescent="0.25">
      <c r="A31" s="105" t="s">
        <v>113</v>
      </c>
      <c r="B31" s="114">
        <f>'Benefit Calculations'!Q37</f>
        <v>166.00544428410672</v>
      </c>
      <c r="C31" s="109"/>
    </row>
    <row r="32" spans="1:3" x14ac:dyDescent="0.25">
      <c r="A32" s="110"/>
      <c r="B32" s="111"/>
      <c r="C32" s="109"/>
    </row>
    <row r="33" spans="1:9" x14ac:dyDescent="0.25">
      <c r="A33" s="108" t="s">
        <v>94</v>
      </c>
      <c r="B33" s="111"/>
      <c r="C33" s="109"/>
    </row>
    <row r="34" spans="1:9" x14ac:dyDescent="0.25">
      <c r="A34" s="105" t="s">
        <v>114</v>
      </c>
      <c r="B34" s="114">
        <f>$B$30+$B$31</f>
        <v>-5895.9964358164534</v>
      </c>
      <c r="C34" s="109"/>
    </row>
    <row r="35" spans="1:9" x14ac:dyDescent="0.25">
      <c r="I35" s="112"/>
    </row>
    <row r="36" spans="1:9" x14ac:dyDescent="0.25">
      <c r="A36" s="108" t="s">
        <v>107</v>
      </c>
    </row>
    <row r="37" spans="1:9" x14ac:dyDescent="0.25">
      <c r="A37" s="105" t="s">
        <v>116</v>
      </c>
      <c r="B37" s="115">
        <f>'Benefit Calculations'!K37</f>
        <v>-1.8890273301533749</v>
      </c>
    </row>
    <row r="38" spans="1:9" x14ac:dyDescent="0.25">
      <c r="A38" s="105" t="s">
        <v>117</v>
      </c>
      <c r="B38" s="115">
        <f>'Benefit Calculations'!O37</f>
        <v>0.20387960795386897</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disablePrompts="1"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92" orientation="landscape"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5.8605000376699898E-2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1.4101999811799999E-2</v>
      </c>
      <c r="F4" s="70">
        <v>2018</v>
      </c>
      <c r="G4" s="80">
        <f>'Inputs &amp; Outputs'!B22</f>
        <v>21547</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6.7461803555499994E-2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1.31460996344999E-2</v>
      </c>
      <c r="F5" s="70">
        <f t="shared" ref="F5:F36" si="2">F4+1</f>
        <v>2019</v>
      </c>
      <c r="G5" s="80">
        <f>G4+G4*H5</f>
        <v>21459.659326954868</v>
      </c>
      <c r="H5" s="79">
        <f>$C$9</f>
        <v>-4.0534957555637963E-3</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21372.672688957213</v>
      </c>
      <c r="H6" s="79">
        <f t="shared" ref="H6:H11" si="7">$C$9</f>
        <v>-4.0534957555637963E-3</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21286.038650927472</v>
      </c>
      <c r="H7" s="79">
        <f t="shared" si="7"/>
        <v>-4.0534957555637963E-3</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21199.75578360317</v>
      </c>
      <c r="H8" s="79">
        <f t="shared" si="7"/>
        <v>-4.0534957555637963E-3</v>
      </c>
      <c r="I8" s="70">
        <f>IF(AND(F8&gt;='Inputs &amp; Outputs'!B$13,F8&lt;'Inputs &amp; Outputs'!B$13+'Inputs &amp; Outputs'!B$19),1,0)</f>
        <v>1</v>
      </c>
      <c r="J8" s="71">
        <f>I8*'Inputs &amp; Outputs'!B$16*'Benefit Calculations'!G8*('Benefit Calculations'!C$4-'Benefit Calculations'!C$5)</f>
        <v>-319.19550950380386</v>
      </c>
      <c r="K8" s="89">
        <f t="shared" si="3"/>
        <v>-9.1481807958461572E-2</v>
      </c>
      <c r="L8" s="72">
        <f>K8*'Assumed Values'!$C$8</f>
        <v>-686.84541415212948</v>
      </c>
      <c r="M8" s="73">
        <f t="shared" si="0"/>
        <v>-523.99107787345906</v>
      </c>
      <c r="N8" s="88">
        <f>I8*'Inputs &amp; Outputs'!B$16*'Benefit Calculations'!G8*('Benefit Calculations'!D$4-'Benefit Calculations'!D$5)</f>
        <v>34.450245530850616</v>
      </c>
      <c r="O8" s="89">
        <f t="shared" si="4"/>
        <v>9.87348083522324E-3</v>
      </c>
      <c r="P8" s="72">
        <f>ABS(O8*'Assumed Values'!$C$7)</f>
        <v>18.808980991100274</v>
      </c>
      <c r="Q8" s="73">
        <f t="shared" si="1"/>
        <v>14.349281541603315</v>
      </c>
      <c r="T8" s="85">
        <f t="shared" si="5"/>
        <v>-8.2990832470988998E-2</v>
      </c>
      <c r="U8" s="86">
        <f>T8*'Assumed Values'!$D$8</f>
        <v>0</v>
      </c>
    </row>
    <row r="9" spans="2:21" x14ac:dyDescent="0.25">
      <c r="B9" s="16" t="s">
        <v>104</v>
      </c>
      <c r="C9" s="67">
        <f>('Inputs &amp; Outputs'!B23/'Inputs &amp; Outputs'!B22)^(1/(2025-2018))-1</f>
        <v>-4.0534957555637963E-3</v>
      </c>
      <c r="F9" s="70">
        <f t="shared" si="2"/>
        <v>2023</v>
      </c>
      <c r="G9" s="80">
        <f t="shared" si="6"/>
        <v>21113.822663515344</v>
      </c>
      <c r="H9" s="79">
        <f t="shared" si="7"/>
        <v>-4.0534957555637963E-3</v>
      </c>
      <c r="I9" s="70">
        <f>IF(AND(F9&gt;='Inputs &amp; Outputs'!B$13,F9&lt;'Inputs &amp; Outputs'!B$13+'Inputs &amp; Outputs'!B$19),1,0)</f>
        <v>1</v>
      </c>
      <c r="J9" s="71">
        <f>I9*'Inputs &amp; Outputs'!B$16*'Benefit Calculations'!G9*('Benefit Calculations'!C$4-'Benefit Calculations'!C$5)</f>
        <v>-317.90165186083516</v>
      </c>
      <c r="K9" s="89">
        <f t="shared" si="3"/>
        <v>-9.1110986838190633E-2</v>
      </c>
      <c r="L9" s="72">
        <f>K9*'Assumed Values'!$C$8</f>
        <v>-684.06128918113529</v>
      </c>
      <c r="M9" s="73">
        <f t="shared" si="0"/>
        <v>-487.7262451059305</v>
      </c>
      <c r="N9" s="88">
        <f>I9*'Inputs &amp; Outputs'!B$16*'Benefit Calculations'!G9*('Benefit Calculations'!D$4-'Benefit Calculations'!D$5)</f>
        <v>34.310601606813186</v>
      </c>
      <c r="O9" s="89">
        <f t="shared" si="4"/>
        <v>9.8334587225650232E-3</v>
      </c>
      <c r="P9" s="72">
        <f>ABS(O9*'Assumed Values'!$C$7)</f>
        <v>18.732738866486368</v>
      </c>
      <c r="Q9" s="73">
        <f t="shared" si="1"/>
        <v>13.35618391568134</v>
      </c>
      <c r="T9" s="85">
        <f t="shared" si="5"/>
        <v>-8.2654429483817154E-2</v>
      </c>
      <c r="U9" s="86">
        <f>T9*'Assumed Values'!$D$8</f>
        <v>0</v>
      </c>
    </row>
    <row r="10" spans="2:21" x14ac:dyDescent="0.25">
      <c r="B10" s="16" t="s">
        <v>105</v>
      </c>
      <c r="C10" s="67">
        <f>('Inputs &amp; Outputs'!B24/'Inputs &amp; Outputs'!B23)^(1/(2045-2020))-1</f>
        <v>6.2550248297112976E-3</v>
      </c>
      <c r="F10" s="70">
        <f t="shared" si="2"/>
        <v>2024</v>
      </c>
      <c r="G10" s="80">
        <f t="shared" si="6"/>
        <v>21028.237872965059</v>
      </c>
      <c r="H10" s="79">
        <f t="shared" si="7"/>
        <v>-4.0534957555637963E-3</v>
      </c>
      <c r="I10" s="70">
        <f>IF(AND(F10&gt;='Inputs &amp; Outputs'!B$13,F10&lt;'Inputs &amp; Outputs'!B$13+'Inputs &amp; Outputs'!B$19),1,0)</f>
        <v>1</v>
      </c>
      <c r="J10" s="71">
        <f>I10*'Inputs &amp; Outputs'!B$16*'Benefit Calculations'!G10*('Benefit Calculations'!C$4-'Benefit Calculations'!C$5)</f>
        <v>-316.61303886433058</v>
      </c>
      <c r="K10" s="89">
        <f t="shared" si="3"/>
        <v>-9.0741668839756817E-2</v>
      </c>
      <c r="L10" s="72">
        <f>K10*'Assumed Values'!$C$8</f>
        <v>-681.28844964889413</v>
      </c>
      <c r="M10" s="73">
        <f t="shared" si="0"/>
        <v>-453.97126059954826</v>
      </c>
      <c r="N10" s="88">
        <f>I10*'Inputs &amp; Outputs'!B$16*'Benefit Calculations'!G10*('Benefit Calculations'!D$4-'Benefit Calculations'!D$5)</f>
        <v>34.171523728829129</v>
      </c>
      <c r="O10" s="89">
        <f t="shared" si="4"/>
        <v>9.7935988393705962E-3</v>
      </c>
      <c r="P10" s="72">
        <f>ABS(O10*'Assumed Values'!$C$7)</f>
        <v>18.656805789000984</v>
      </c>
      <c r="Q10" s="73">
        <f t="shared" si="1"/>
        <v>12.431817458755701</v>
      </c>
      <c r="T10" s="85">
        <f t="shared" si="5"/>
        <v>-8.2319390104725956E-2</v>
      </c>
      <c r="U10" s="86">
        <f>T10*'Assumed Values'!$D$8</f>
        <v>0</v>
      </c>
    </row>
    <row r="11" spans="2:21" x14ac:dyDescent="0.25">
      <c r="B11" s="16" t="s">
        <v>106</v>
      </c>
      <c r="C11" s="67">
        <f>('Inputs &amp; Outputs'!B24/'Inputs &amp; Outputs'!B22)^(1/(2045-2018))-1</f>
        <v>4.7317688837886784E-3</v>
      </c>
      <c r="F11" s="70">
        <f t="shared" si="2"/>
        <v>2025</v>
      </c>
      <c r="G11" s="80">
        <f>'Inputs &amp; Outputs'!$B$23</f>
        <v>20943</v>
      </c>
      <c r="H11" s="79">
        <f t="shared" si="7"/>
        <v>-4.0534957555637963E-3</v>
      </c>
      <c r="I11" s="70">
        <f>IF(AND(F11&gt;='Inputs &amp; Outputs'!B$13,F11&lt;'Inputs &amp; Outputs'!B$13+'Inputs &amp; Outputs'!B$19),1,0)</f>
        <v>1</v>
      </c>
      <c r="J11" s="71">
        <f>I11*'Inputs &amp; Outputs'!B$16*'Benefit Calculations'!G11*('Benefit Calculations'!C$4-'Benefit Calculations'!C$5)</f>
        <v>-315.32964925513767</v>
      </c>
      <c r="K11" s="89">
        <f t="shared" si="3"/>
        <v>-9.0373847870262022E-2</v>
      </c>
      <c r="L11" s="72">
        <f>K11*'Assumed Values'!$C$8</f>
        <v>-678.52684980992728</v>
      </c>
      <c r="M11" s="73">
        <f t="shared" si="0"/>
        <v>-422.55242058089692</v>
      </c>
      <c r="N11" s="88">
        <f>I11*'Inputs &amp; Outputs'!B$16*'Benefit Calculations'!G11*('Benefit Calculations'!D$4-'Benefit Calculations'!D$5)</f>
        <v>34.033009602433154</v>
      </c>
      <c r="O11" s="89">
        <f t="shared" si="4"/>
        <v>9.7539005280435059E-3</v>
      </c>
      <c r="P11" s="72">
        <f>ABS(O11*'Assumed Values'!$C$7)</f>
        <v>18.58118050592288</v>
      </c>
      <c r="Q11" s="73">
        <f t="shared" si="1"/>
        <v>11.57142536397447</v>
      </c>
      <c r="T11" s="85">
        <f t="shared" si="5"/>
        <v>-8.1985708806335794E-2</v>
      </c>
      <c r="U11" s="86">
        <f>T11*'Assumed Values'!$D$8</f>
        <v>0</v>
      </c>
    </row>
    <row r="12" spans="2:21" x14ac:dyDescent="0.25">
      <c r="B12" s="27"/>
      <c r="C12" s="68"/>
      <c r="F12" s="70">
        <f t="shared" si="2"/>
        <v>2026</v>
      </c>
      <c r="G12" s="80">
        <f t="shared" si="6"/>
        <v>21073.998985008642</v>
      </c>
      <c r="H12" s="79">
        <f>$C$10</f>
        <v>6.2550248297112976E-3</v>
      </c>
      <c r="I12" s="70">
        <f>IF(AND(F12&gt;='Inputs &amp; Outputs'!B$13,F12&lt;'Inputs &amp; Outputs'!B$13+'Inputs &amp; Outputs'!B$19),1,0)</f>
        <v>1</v>
      </c>
      <c r="J12" s="71">
        <f>I12*'Inputs &amp; Outputs'!B$16*'Benefit Calculations'!G12*('Benefit Calculations'!C$4-'Benefit Calculations'!C$5)</f>
        <v>-317.30204404077267</v>
      </c>
      <c r="K12" s="89">
        <f t="shared" si="3"/>
        <v>-9.0939138532647054E-2</v>
      </c>
      <c r="L12" s="72">
        <f>K12*'Assumed Values'!$C$8</f>
        <v>-682.77105210311413</v>
      </c>
      <c r="M12" s="73">
        <f t="shared" si="0"/>
        <v>-397.37896865746268</v>
      </c>
      <c r="N12" s="88">
        <f>I12*'Inputs &amp; Outputs'!B$16*'Benefit Calculations'!G12*('Benefit Calculations'!D$4-'Benefit Calculations'!D$5)</f>
        <v>34.245886922526175</v>
      </c>
      <c r="O12" s="89">
        <f t="shared" si="4"/>
        <v>9.8149114180329511E-3</v>
      </c>
      <c r="P12" s="72">
        <f>ABS(O12*'Assumed Values'!$C$7)</f>
        <v>18.697406251352771</v>
      </c>
      <c r="Q12" s="73">
        <f t="shared" si="1"/>
        <v>10.882060670038578</v>
      </c>
      <c r="T12" s="85">
        <f t="shared" si="5"/>
        <v>-8.249853145060089E-2</v>
      </c>
      <c r="U12" s="86">
        <f>T12*'Assumed Values'!$D$8</f>
        <v>0</v>
      </c>
    </row>
    <row r="13" spans="2:21" x14ac:dyDescent="0.25">
      <c r="B13" s="27"/>
      <c r="C13" s="68"/>
      <c r="F13" s="70">
        <f t="shared" si="2"/>
        <v>2027</v>
      </c>
      <c r="G13" s="80">
        <f t="shared" si="6"/>
        <v>21205.817371921181</v>
      </c>
      <c r="H13" s="79">
        <f t="shared" ref="H13:H36" si="8">$C$10</f>
        <v>6.2550248297112976E-3</v>
      </c>
      <c r="I13" s="70">
        <f>IF(AND(F13&gt;='Inputs &amp; Outputs'!B$13,F13&lt;'Inputs &amp; Outputs'!B$13+'Inputs &amp; Outputs'!B$19),1,0)</f>
        <v>1</v>
      </c>
      <c r="J13" s="71">
        <f>I13*'Inputs &amp; Outputs'!B$16*'Benefit Calculations'!G13*('Benefit Calculations'!C$4-'Benefit Calculations'!C$5)</f>
        <v>-319.28677620476589</v>
      </c>
      <c r="K13" s="89">
        <f t="shared" si="3"/>
        <v>-9.1507965102161345E-2</v>
      </c>
      <c r="L13" s="72">
        <f>K13*'Assumed Values'!$C$8</f>
        <v>-687.04180198702738</v>
      </c>
      <c r="M13" s="73">
        <f t="shared" si="0"/>
        <v>-373.70521866656094</v>
      </c>
      <c r="N13" s="88">
        <f>I13*'Inputs &amp; Outputs'!B$16*'Benefit Calculations'!G13*('Benefit Calculations'!D$4-'Benefit Calculations'!D$5)</f>
        <v>34.460095795542067</v>
      </c>
      <c r="O13" s="89">
        <f t="shared" si="4"/>
        <v>9.8763039326541669E-3</v>
      </c>
      <c r="P13" s="72">
        <f>ABS(O13*'Assumed Values'!$C$7)</f>
        <v>18.81435899170619</v>
      </c>
      <c r="Q13" s="73">
        <f t="shared" si="1"/>
        <v>10.233764700680466</v>
      </c>
      <c r="T13" s="85">
        <f t="shared" si="5"/>
        <v>-8.3014561813239129E-2</v>
      </c>
      <c r="U13" s="86">
        <f>T13*'Assumed Values'!$D$8</f>
        <v>0</v>
      </c>
    </row>
    <row r="14" spans="2:21" x14ac:dyDescent="0.25">
      <c r="B14" s="27"/>
      <c r="C14" s="68"/>
      <c r="F14" s="70">
        <f t="shared" si="2"/>
        <v>2028</v>
      </c>
      <c r="G14" s="80">
        <f t="shared" si="6"/>
        <v>21338.460286116871</v>
      </c>
      <c r="H14" s="79">
        <f t="shared" si="8"/>
        <v>6.2550248297112976E-3</v>
      </c>
      <c r="I14" s="70">
        <f>IF(AND(F14&gt;='Inputs &amp; Outputs'!B$13,F14&lt;'Inputs &amp; Outputs'!B$13+'Inputs &amp; Outputs'!B$19),1,0)</f>
        <v>1</v>
      </c>
      <c r="J14" s="71">
        <f>I14*'Inputs &amp; Outputs'!B$16*'Benefit Calculations'!G14*('Benefit Calculations'!C$4-'Benefit Calculations'!C$5)</f>
        <v>-321.28392291772519</v>
      </c>
      <c r="K14" s="89">
        <f t="shared" si="3"/>
        <v>-9.2080349695991714E-2</v>
      </c>
      <c r="L14" s="72">
        <f>K14*'Assumed Values'!$C$8</f>
        <v>-691.33926551750574</v>
      </c>
      <c r="M14" s="73">
        <f t="shared" si="0"/>
        <v>-351.44182625075973</v>
      </c>
      <c r="N14" s="88">
        <f>I14*'Inputs &amp; Outputs'!B$16*'Benefit Calculations'!G14*('Benefit Calculations'!D$4-'Benefit Calculations'!D$5)</f>
        <v>34.675644550377406</v>
      </c>
      <c r="O14" s="89">
        <f t="shared" si="4"/>
        <v>9.938080458978692E-3</v>
      </c>
      <c r="P14" s="72">
        <f>ABS(O14*'Assumed Values'!$C$7)</f>
        <v>18.93204327435441</v>
      </c>
      <c r="Q14" s="73">
        <f t="shared" si="1"/>
        <v>9.6240907971819087</v>
      </c>
      <c r="T14" s="85">
        <f t="shared" si="5"/>
        <v>-8.3533819958608549E-2</v>
      </c>
      <c r="U14" s="86">
        <f>T14*'Assumed Values'!$D$8</f>
        <v>0</v>
      </c>
    </row>
    <row r="15" spans="2:21" x14ac:dyDescent="0.25">
      <c r="B15" s="27"/>
      <c r="C15" s="69"/>
      <c r="F15" s="70">
        <f t="shared" si="2"/>
        <v>2029</v>
      </c>
      <c r="G15" s="80">
        <f t="shared" si="6"/>
        <v>21471.932885034341</v>
      </c>
      <c r="H15" s="79">
        <f t="shared" si="8"/>
        <v>6.2550248297112976E-3</v>
      </c>
      <c r="I15" s="70">
        <f>IF(AND(F15&gt;='Inputs &amp; Outputs'!B$13,F15&lt;'Inputs &amp; Outputs'!B$13+'Inputs &amp; Outputs'!B$19),1,0)</f>
        <v>1</v>
      </c>
      <c r="J15" s="71">
        <f>I15*'Inputs &amp; Outputs'!B$16*'Benefit Calculations'!G15*('Benefit Calculations'!C$4-'Benefit Calculations'!C$5)</f>
        <v>-323.29356183296255</v>
      </c>
      <c r="K15" s="89">
        <f t="shared" si="3"/>
        <v>-9.2656314569668621E-2</v>
      </c>
      <c r="L15" s="72">
        <f>K15*'Assumed Values'!$C$8</f>
        <v>-695.66360978907198</v>
      </c>
      <c r="M15" s="73">
        <f t="shared" si="0"/>
        <v>-330.50476971977309</v>
      </c>
      <c r="N15" s="88">
        <f>I15*'Inputs &amp; Outputs'!B$16*'Benefit Calculations'!G15*('Benefit Calculations'!D$4-'Benefit Calculations'!D$5)</f>
        <v>34.89254156802626</v>
      </c>
      <c r="O15" s="89">
        <f t="shared" si="4"/>
        <v>1.0000243399009271E-2</v>
      </c>
      <c r="P15" s="72">
        <f>ABS(O15*'Assumed Values'!$C$7)</f>
        <v>19.05046367511266</v>
      </c>
      <c r="Q15" s="73">
        <f t="shared" si="1"/>
        <v>9.0507380598894152</v>
      </c>
      <c r="T15" s="85">
        <f t="shared" si="5"/>
        <v>-8.4056326076570265E-2</v>
      </c>
      <c r="U15" s="86">
        <f>T15*'Assumed Values'!$D$8</f>
        <v>0</v>
      </c>
    </row>
    <row r="16" spans="2:21" x14ac:dyDescent="0.25">
      <c r="B16" s="27"/>
      <c r="C16" s="69"/>
      <c r="F16" s="70">
        <f t="shared" si="2"/>
        <v>2030</v>
      </c>
      <c r="G16" s="80">
        <f t="shared" si="6"/>
        <v>21606.240358372124</v>
      </c>
      <c r="H16" s="79">
        <f t="shared" si="8"/>
        <v>6.2550248297112976E-3</v>
      </c>
      <c r="I16" s="70">
        <f>IF(AND(F16&gt;='Inputs &amp; Outputs'!B$13,F16&lt;'Inputs &amp; Outputs'!B$13+'Inputs &amp; Outputs'!B$19),1,0)</f>
        <v>1</v>
      </c>
      <c r="J16" s="71">
        <f>I16*'Inputs &amp; Outputs'!B$16*'Benefit Calculations'!G16*('Benefit Calculations'!C$4-'Benefit Calculations'!C$5)</f>
        <v>-325.31577108951353</v>
      </c>
      <c r="K16" s="89">
        <f t="shared" si="3"/>
        <v>-9.3235882117931435E-2</v>
      </c>
      <c r="L16" s="72">
        <f>K16*'Assumed Values'!$C$8</f>
        <v>-700.0150029414292</v>
      </c>
      <c r="M16" s="73">
        <f t="shared" si="0"/>
        <v>-310.81503295393304</v>
      </c>
      <c r="N16" s="88">
        <f>I16*'Inputs &amp; Outputs'!B$16*'Benefit Calculations'!G16*('Benefit Calculations'!D$4-'Benefit Calculations'!D$5)</f>
        <v>35.110795281905993</v>
      </c>
      <c r="O16" s="89">
        <f t="shared" si="4"/>
        <v>1.006279516977323E-2</v>
      </c>
      <c r="P16" s="72">
        <f>ABS(O16*'Assumed Values'!$C$7)</f>
        <v>19.169624798418003</v>
      </c>
      <c r="Q16" s="73">
        <f t="shared" si="1"/>
        <v>8.5115426646553622</v>
      </c>
      <c r="T16" s="85">
        <f t="shared" si="5"/>
        <v>-8.4582100483273526E-2</v>
      </c>
      <c r="U16" s="86">
        <f>T16*'Assumed Values'!$D$8</f>
        <v>0</v>
      </c>
    </row>
    <row r="17" spans="2:21" x14ac:dyDescent="0.25">
      <c r="B17" s="27"/>
      <c r="C17" s="69"/>
      <c r="F17" s="70">
        <f t="shared" si="2"/>
        <v>2031</v>
      </c>
      <c r="G17" s="80">
        <f t="shared" si="6"/>
        <v>21741.387928290453</v>
      </c>
      <c r="H17" s="79">
        <f t="shared" si="8"/>
        <v>6.2550248297112976E-3</v>
      </c>
      <c r="I17" s="70">
        <f>IF(AND(F17&gt;='Inputs &amp; Outputs'!B$13,F17&lt;'Inputs &amp; Outputs'!B$13+'Inputs &amp; Outputs'!B$19),1,0)</f>
        <v>1</v>
      </c>
      <c r="J17" s="71">
        <f>I17*'Inputs &amp; Outputs'!B$16*'Benefit Calculations'!G17*('Benefit Calculations'!C$4-'Benefit Calculations'!C$5)</f>
        <v>-327.35062931517518</v>
      </c>
      <c r="K17" s="89">
        <f t="shared" si="3"/>
        <v>-9.3819074875599151E-2</v>
      </c>
      <c r="L17" s="72">
        <f>K17*'Assumed Values'!$C$8</f>
        <v>-704.39361416599843</v>
      </c>
      <c r="M17" s="73">
        <f t="shared" si="0"/>
        <v>-292.29830719860513</v>
      </c>
      <c r="N17" s="88">
        <f>I17*'Inputs &amp; Outputs'!B$16*'Benefit Calculations'!G17*('Benefit Calculations'!D$4-'Benefit Calculations'!D$5)</f>
        <v>35.330414178185229</v>
      </c>
      <c r="O17" s="89">
        <f t="shared" si="4"/>
        <v>1.0125738203416461E-2</v>
      </c>
      <c r="P17" s="72">
        <f>ABS(O17*'Assumed Values'!$C$7)</f>
        <v>19.28953127750836</v>
      </c>
      <c r="Q17" s="73">
        <f t="shared" si="1"/>
        <v>8.0044696965999336</v>
      </c>
      <c r="T17" s="85">
        <f t="shared" si="5"/>
        <v>-8.5111163621945554E-2</v>
      </c>
      <c r="U17" s="86">
        <f>T17*'Assumed Values'!$D$8</f>
        <v>0</v>
      </c>
    </row>
    <row r="18" spans="2:21" x14ac:dyDescent="0.25">
      <c r="F18" s="70">
        <f t="shared" si="2"/>
        <v>2032</v>
      </c>
      <c r="G18" s="80">
        <f t="shared" si="6"/>
        <v>21877.380849614296</v>
      </c>
      <c r="H18" s="79">
        <f t="shared" si="8"/>
        <v>6.2550248297112976E-3</v>
      </c>
      <c r="I18" s="70">
        <f>IF(AND(F18&gt;='Inputs &amp; Outputs'!B$13,F18&lt;'Inputs &amp; Outputs'!B$13+'Inputs &amp; Outputs'!B$19),1,0)</f>
        <v>1</v>
      </c>
      <c r="J18" s="71">
        <f>I18*'Inputs &amp; Outputs'!B$16*'Benefit Calculations'!G18*('Benefit Calculations'!C$4-'Benefit Calculations'!C$5)</f>
        <v>-329.3982156295632</v>
      </c>
      <c r="K18" s="89">
        <f t="shared" si="3"/>
        <v>-9.440591551844657E-2</v>
      </c>
      <c r="L18" s="72">
        <f>K18*'Assumed Values'!$C$8</f>
        <v>-708.79961371249681</v>
      </c>
      <c r="M18" s="73">
        <f t="shared" si="0"/>
        <v>-274.88471062412617</v>
      </c>
      <c r="N18" s="88">
        <f>I18*'Inputs &amp; Outputs'!B$16*'Benefit Calculations'!G18*('Benefit Calculations'!D$4-'Benefit Calculations'!D$5)</f>
        <v>35.551406796113767</v>
      </c>
      <c r="O18" s="89">
        <f t="shared" si="4"/>
        <v>1.0189074947297989E-2</v>
      </c>
      <c r="P18" s="72">
        <f>ABS(O18*'Assumed Values'!$C$7)</f>
        <v>19.410187774602669</v>
      </c>
      <c r="Q18" s="73">
        <f t="shared" si="1"/>
        <v>7.527605470374616</v>
      </c>
      <c r="T18" s="85">
        <f t="shared" si="5"/>
        <v>-8.5643536063686437E-2</v>
      </c>
      <c r="U18" s="86">
        <f>T18*'Assumed Values'!$D$8</f>
        <v>0</v>
      </c>
    </row>
    <row r="19" spans="2:21" x14ac:dyDescent="0.25">
      <c r="F19" s="70">
        <f t="shared" si="2"/>
        <v>2033</v>
      </c>
      <c r="G19" s="80">
        <f t="shared" si="6"/>
        <v>22014.224410037685</v>
      </c>
      <c r="H19" s="79">
        <f t="shared" si="8"/>
        <v>6.2550248297112976E-3</v>
      </c>
      <c r="I19" s="70">
        <f>IF(AND(F19&gt;='Inputs &amp; Outputs'!B$13,F19&lt;'Inputs &amp; Outputs'!B$13+'Inputs &amp; Outputs'!B$19),1,0)</f>
        <v>1</v>
      </c>
      <c r="J19" s="71">
        <f>I19*'Inputs &amp; Outputs'!B$16*'Benefit Calculations'!G19*('Benefit Calculations'!C$4-'Benefit Calculations'!C$5)</f>
        <v>-331.45860964718872</v>
      </c>
      <c r="K19" s="89">
        <f t="shared" si="3"/>
        <v>-9.4996426864086089E-2</v>
      </c>
      <c r="L19" s="72">
        <f>K19*'Assumed Values'!$C$8</f>
        <v>-713.23317289555837</v>
      </c>
      <c r="M19" s="73">
        <f t="shared" si="0"/>
        <v>-258.50852459288603</v>
      </c>
      <c r="N19" s="88">
        <f>I19*'Inputs &amp; Outputs'!B$16*'Benefit Calculations'!G19*('Benefit Calculations'!D$4-'Benefit Calculations'!D$5)</f>
        <v>35.773781728354621</v>
      </c>
      <c r="O19" s="89">
        <f t="shared" si="4"/>
        <v>1.0252807864085127E-2</v>
      </c>
      <c r="P19" s="72">
        <f>ABS(O19*'Assumed Values'!$C$7)</f>
        <v>19.531598981082169</v>
      </c>
      <c r="Q19" s="73">
        <f t="shared" si="1"/>
        <v>7.0791503079440004</v>
      </c>
      <c r="T19" s="85">
        <f t="shared" si="5"/>
        <v>-8.6179238508269071E-2</v>
      </c>
      <c r="U19" s="86">
        <f>T19*'Assumed Values'!$D$8</f>
        <v>0</v>
      </c>
    </row>
    <row r="20" spans="2:21" x14ac:dyDescent="0.25">
      <c r="F20" s="70">
        <f t="shared" si="2"/>
        <v>2034</v>
      </c>
      <c r="G20" s="80">
        <f t="shared" si="6"/>
        <v>22151.923930329307</v>
      </c>
      <c r="H20" s="79">
        <f t="shared" si="8"/>
        <v>6.2550248297112976E-3</v>
      </c>
      <c r="I20" s="70">
        <f>IF(AND(F20&gt;='Inputs &amp; Outputs'!B$13,F20&lt;'Inputs &amp; Outputs'!B$13+'Inputs &amp; Outputs'!B$19),1,0)</f>
        <v>1</v>
      </c>
      <c r="J20" s="71">
        <f>I20*'Inputs &amp; Outputs'!B$16*'Benefit Calculations'!G20*('Benefit Calculations'!C$4-'Benefit Calculations'!C$5)</f>
        <v>-333.5318914805535</v>
      </c>
      <c r="K20" s="89">
        <f t="shared" si="3"/>
        <v>-9.5590631872854798E-2</v>
      </c>
      <c r="L20" s="72">
        <f>K20*'Assumed Values'!$C$8</f>
        <v>-717.69446410139381</v>
      </c>
      <c r="M20" s="73">
        <f t="shared" si="0"/>
        <v>-243.10794563823049</v>
      </c>
      <c r="N20" s="88">
        <f>I20*'Inputs &amp; Outputs'!B$16*'Benefit Calculations'!G20*('Benefit Calculations'!D$4-'Benefit Calculations'!D$5)</f>
        <v>35.997547621318155</v>
      </c>
      <c r="O20" s="89">
        <f t="shared" si="4"/>
        <v>1.0316939431849238E-2</v>
      </c>
      <c r="P20" s="72">
        <f>ABS(O20*'Assumed Values'!$C$7)</f>
        <v>19.653769617672797</v>
      </c>
      <c r="Q20" s="73">
        <f t="shared" si="1"/>
        <v>6.6574117466293901</v>
      </c>
      <c r="T20" s="85">
        <f t="shared" si="5"/>
        <v>-8.6718291784943904E-2</v>
      </c>
      <c r="U20" s="86">
        <f>T20*'Assumed Values'!$D$8</f>
        <v>0</v>
      </c>
    </row>
    <row r="21" spans="2:21" x14ac:dyDescent="0.25">
      <c r="F21" s="70">
        <f t="shared" si="2"/>
        <v>2035</v>
      </c>
      <c r="G21" s="80">
        <f t="shared" si="6"/>
        <v>22290.484764539393</v>
      </c>
      <c r="H21" s="79">
        <f t="shared" si="8"/>
        <v>6.2550248297112976E-3</v>
      </c>
      <c r="I21" s="70">
        <f>IF(AND(F21&gt;='Inputs &amp; Outputs'!B$13,F21&lt;'Inputs &amp; Outputs'!B$13+'Inputs &amp; Outputs'!B$19),1,0)</f>
        <v>1</v>
      </c>
      <c r="J21" s="71">
        <f>I21*'Inputs &amp; Outputs'!B$16*'Benefit Calculations'!G21*('Benefit Calculations'!C$4-'Benefit Calculations'!C$5)</f>
        <v>-335.61814174326497</v>
      </c>
      <c r="K21" s="89">
        <f t="shared" si="3"/>
        <v>-9.6188553648707306E-2</v>
      </c>
      <c r="L21" s="72">
        <f>K21*'Assumed Values'!$C$8</f>
        <v>-722.18366079449447</v>
      </c>
      <c r="M21" s="73">
        <f t="shared" si="0"/>
        <v>-228.62485221915676</v>
      </c>
      <c r="N21" s="88">
        <f>I21*'Inputs &amp; Outputs'!B$16*'Benefit Calculations'!G21*('Benefit Calculations'!D$4-'Benefit Calculations'!D$5)</f>
        <v>36.222713175498221</v>
      </c>
      <c r="O21" s="89">
        <f t="shared" si="4"/>
        <v>1.0381472144162084E-2</v>
      </c>
      <c r="P21" s="72">
        <f>ABS(O21*'Assumed Values'!$C$7)</f>
        <v>19.776704434628769</v>
      </c>
      <c r="Q21" s="73">
        <f t="shared" si="1"/>
        <v>6.2607981517814668</v>
      </c>
      <c r="T21" s="85">
        <f t="shared" si="5"/>
        <v>-8.726071685324889E-2</v>
      </c>
      <c r="U21" s="86">
        <f>T21*'Assumed Values'!$D$8</f>
        <v>0</v>
      </c>
    </row>
    <row r="22" spans="2:21" x14ac:dyDescent="0.25">
      <c r="F22" s="70">
        <f t="shared" si="2"/>
        <v>2036</v>
      </c>
      <c r="G22" s="80">
        <f t="shared" si="6"/>
        <v>22429.912300207889</v>
      </c>
      <c r="H22" s="79">
        <f t="shared" si="8"/>
        <v>6.2550248297112976E-3</v>
      </c>
      <c r="I22" s="70">
        <f>IF(AND(F22&gt;='Inputs &amp; Outputs'!B$13,F22&lt;'Inputs &amp; Outputs'!B$13+'Inputs &amp; Outputs'!B$19),1,0)</f>
        <v>1</v>
      </c>
      <c r="J22" s="71">
        <f>I22*'Inputs &amp; Outputs'!B$16*'Benefit Calculations'!G22*('Benefit Calculations'!C$4-'Benefit Calculations'!C$5)</f>
        <v>-337.7174415531706</v>
      </c>
      <c r="K22" s="89">
        <f t="shared" si="3"/>
        <v>-9.6790215440113972E-2</v>
      </c>
      <c r="L22" s="72">
        <f>K22*'Assumed Values'!$C$8</f>
        <v>-726.70093752437572</v>
      </c>
      <c r="M22" s="73">
        <f t="shared" si="0"/>
        <v>-215.0045853705389</v>
      </c>
      <c r="N22" s="88">
        <f>I22*'Inputs &amp; Outputs'!B$16*'Benefit Calculations'!G22*('Benefit Calculations'!D$4-'Benefit Calculations'!D$5)</f>
        <v>36.449287145810466</v>
      </c>
      <c r="O22" s="89">
        <f t="shared" si="4"/>
        <v>1.0446408510192774E-2</v>
      </c>
      <c r="P22" s="72">
        <f>ABS(O22*'Assumed Values'!$C$7)</f>
        <v>19.900408211917235</v>
      </c>
      <c r="Q22" s="73">
        <f t="shared" si="1"/>
        <v>5.8878127099763278</v>
      </c>
      <c r="T22" s="85">
        <f t="shared" si="5"/>
        <v>-8.780653480382436E-2</v>
      </c>
      <c r="U22" s="86">
        <f>T22*'Assumed Values'!$D$8</f>
        <v>0</v>
      </c>
    </row>
    <row r="23" spans="2:21" x14ac:dyDescent="0.25">
      <c r="F23" s="70">
        <f t="shared" si="2"/>
        <v>2037</v>
      </c>
      <c r="G23" s="80">
        <f t="shared" si="6"/>
        <v>22570.211958573935</v>
      </c>
      <c r="H23" s="79">
        <f t="shared" si="8"/>
        <v>6.2550248297112976E-3</v>
      </c>
      <c r="I23" s="70">
        <f>IF(AND(F23&gt;='Inputs &amp; Outputs'!B$13,F23&lt;'Inputs &amp; Outputs'!B$13+'Inputs &amp; Outputs'!B$19),1,0)</f>
        <v>1</v>
      </c>
      <c r="J23" s="71">
        <f>I23*'Inputs &amp; Outputs'!B$16*'Benefit Calculations'!G23*('Benefit Calculations'!C$4-'Benefit Calculations'!C$5)</f>
        <v>-339.82987253551227</v>
      </c>
      <c r="K23" s="89">
        <f t="shared" si="3"/>
        <v>-9.7395640640964995E-2</v>
      </c>
      <c r="L23" s="72">
        <f>K23*'Assumed Values'!$C$8</f>
        <v>-731.24646993236513</v>
      </c>
      <c r="M23" s="73">
        <f t="shared" si="0"/>
        <v>-202.19574242105924</v>
      </c>
      <c r="N23" s="88">
        <f>I23*'Inputs &amp; Outputs'!B$16*'Benefit Calculations'!G23*('Benefit Calculations'!D$4-'Benefit Calculations'!D$5)</f>
        <v>36.677278341932791</v>
      </c>
      <c r="O23" s="89">
        <f t="shared" si="4"/>
        <v>1.0511751054805339E-2</v>
      </c>
      <c r="P23" s="72">
        <f>ABS(O23*'Assumed Values'!$C$7)</f>
        <v>20.024885759404171</v>
      </c>
      <c r="Q23" s="73">
        <f t="shared" si="1"/>
        <v>5.5370477800653459</v>
      </c>
      <c r="T23" s="85">
        <f t="shared" si="5"/>
        <v>-8.8355766859233187E-2</v>
      </c>
      <c r="U23" s="86">
        <f>T23*'Assumed Values'!$D$8</f>
        <v>0</v>
      </c>
    </row>
    <row r="24" spans="2:21" x14ac:dyDescent="0.25">
      <c r="F24" s="70">
        <f t="shared" si="2"/>
        <v>2038</v>
      </c>
      <c r="G24" s="80">
        <f t="shared" si="6"/>
        <v>22711.389194786661</v>
      </c>
      <c r="H24" s="79">
        <f t="shared" si="8"/>
        <v>6.2550248297112976E-3</v>
      </c>
      <c r="I24" s="70">
        <f>IF(AND(F24&gt;='Inputs &amp; Outputs'!B$13,F24&lt;'Inputs &amp; Outputs'!B$13+'Inputs &amp; Outputs'!B$19),1,0)</f>
        <v>1</v>
      </c>
      <c r="J24" s="71">
        <f>I24*'Inputs &amp; Outputs'!B$16*'Benefit Calculations'!G24*('Benefit Calculations'!C$4-'Benefit Calculations'!C$5)</f>
        <v>-341.95551682609954</v>
      </c>
      <c r="K24" s="89">
        <f t="shared" si="3"/>
        <v>-9.8004852791479871E-2</v>
      </c>
      <c r="L24" s="72">
        <f>K24*'Assumed Values'!$C$8</f>
        <v>-735.82043475843091</v>
      </c>
      <c r="M24" s="73">
        <f t="shared" si="0"/>
        <v>-190.14998300034105</v>
      </c>
      <c r="N24" s="88">
        <f>I24*'Inputs &amp; Outputs'!B$16*'Benefit Calculations'!G24*('Benefit Calculations'!D$4-'Benefit Calculations'!D$5)</f>
        <v>36.90669562864781</v>
      </c>
      <c r="O24" s="89">
        <f t="shared" si="4"/>
        <v>1.0577502318656888E-2</v>
      </c>
      <c r="P24" s="72">
        <f>ABS(O24*'Assumed Values'!$C$7)</f>
        <v>20.15014191704137</v>
      </c>
      <c r="Q24" s="73">
        <f t="shared" si="1"/>
        <v>5.2071795807597674</v>
      </c>
      <c r="T24" s="85">
        <f t="shared" si="5"/>
        <v>-8.8908434374785877E-2</v>
      </c>
      <c r="U24" s="86">
        <f>T24*'Assumed Values'!$D$8</f>
        <v>0</v>
      </c>
    </row>
    <row r="25" spans="2:21" x14ac:dyDescent="0.25">
      <c r="F25" s="70">
        <f t="shared" si="2"/>
        <v>2039</v>
      </c>
      <c r="G25" s="80">
        <f t="shared" si="6"/>
        <v>22853.44949811729</v>
      </c>
      <c r="H25" s="79">
        <f t="shared" si="8"/>
        <v>6.2550248297112976E-3</v>
      </c>
      <c r="I25" s="70">
        <f>IF(AND(F25&gt;='Inputs &amp; Outputs'!B$13,F25&lt;'Inputs &amp; Outputs'!B$13+'Inputs &amp; Outputs'!B$19),1,0)</f>
        <v>1</v>
      </c>
      <c r="J25" s="71">
        <f>I25*'Inputs &amp; Outputs'!B$16*'Benefit Calculations'!G25*('Benefit Calculations'!C$4-'Benefit Calculations'!C$5)</f>
        <v>-344.09445707450357</v>
      </c>
      <c r="K25" s="89">
        <f t="shared" si="3"/>
        <v>-9.8617875579122785E-2</v>
      </c>
      <c r="L25" s="72">
        <f>K25*'Assumed Values'!$C$8</f>
        <v>-740.42300984805388</v>
      </c>
      <c r="M25" s="73">
        <f t="shared" si="0"/>
        <v>-178.82184660315642</v>
      </c>
      <c r="N25" s="88">
        <f>I25*'Inputs &amp; Outputs'!B$16*'Benefit Calculations'!G25*('Benefit Calculations'!D$4-'Benefit Calculations'!D$5)</f>
        <v>37.137547926187601</v>
      </c>
      <c r="O25" s="89">
        <f t="shared" si="4"/>
        <v>1.0643664858296417E-2</v>
      </c>
      <c r="P25" s="72">
        <f>ABS(O25*'Assumed Values'!$C$7)</f>
        <v>20.276181555054674</v>
      </c>
      <c r="Q25" s="73">
        <f t="shared" si="1"/>
        <v>4.8969631947011081</v>
      </c>
      <c r="T25" s="85">
        <f t="shared" si="5"/>
        <v>-8.9464558839370933E-2</v>
      </c>
      <c r="U25" s="86">
        <f>T25*'Assumed Values'!$D$8</f>
        <v>0</v>
      </c>
    </row>
    <row r="26" spans="2:21" x14ac:dyDescent="0.25">
      <c r="F26" s="70">
        <f t="shared" si="2"/>
        <v>2040</v>
      </c>
      <c r="G26" s="80">
        <f t="shared" si="6"/>
        <v>22996.398392172567</v>
      </c>
      <c r="H26" s="79">
        <f t="shared" si="8"/>
        <v>6.2550248297112976E-3</v>
      </c>
      <c r="I26" s="70">
        <f>IF(AND(F26&gt;='Inputs &amp; Outputs'!B$13,F26&lt;'Inputs &amp; Outputs'!B$13+'Inputs &amp; Outputs'!B$19),1,0)</f>
        <v>1</v>
      </c>
      <c r="J26" s="71">
        <f>I26*'Inputs &amp; Outputs'!B$16*'Benefit Calculations'!G26*('Benefit Calculations'!C$4-'Benefit Calculations'!C$5)</f>
        <v>-346.24677644727063</v>
      </c>
      <c r="K26" s="89">
        <f t="shared" si="3"/>
        <v>-9.9234732839523582E-2</v>
      </c>
      <c r="L26" s="72">
        <f>K26*'Assumed Values'!$C$8</f>
        <v>-745.05437415914309</v>
      </c>
      <c r="M26" s="73">
        <f t="shared" si="0"/>
        <v>-168.16858102219999</v>
      </c>
      <c r="N26" s="88">
        <f>I26*'Inputs &amp; Outputs'!B$16*'Benefit Calculations'!G26*('Benefit Calculations'!D$4-'Benefit Calculations'!D$5)</f>
        <v>37.369844210580503</v>
      </c>
      <c r="O26" s="89">
        <f t="shared" si="4"/>
        <v>1.0710241246264187E-2</v>
      </c>
      <c r="P26" s="72">
        <f>ABS(O26*'Assumed Values'!$C$7)</f>
        <v>20.403009574133275</v>
      </c>
      <c r="Q26" s="73">
        <f t="shared" si="1"/>
        <v>4.6052278701627536</v>
      </c>
      <c r="T26" s="85">
        <f t="shared" si="5"/>
        <v>-9.0024161876290365E-2</v>
      </c>
      <c r="U26" s="86">
        <f>T26*'Assumed Values'!$D$8</f>
        <v>0</v>
      </c>
    </row>
    <row r="27" spans="2:21" x14ac:dyDescent="0.25">
      <c r="F27" s="70">
        <f t="shared" si="2"/>
        <v>2041</v>
      </c>
      <c r="G27" s="80">
        <f t="shared" si="6"/>
        <v>23140.241435109539</v>
      </c>
      <c r="H27" s="79">
        <f t="shared" si="8"/>
        <v>6.2550248297112976E-3</v>
      </c>
      <c r="I27" s="70">
        <f>IF(AND(F27&gt;='Inputs &amp; Outputs'!B$13,F27&lt;'Inputs &amp; Outputs'!B$13+'Inputs &amp; Outputs'!B$19),1,0)</f>
        <v>1</v>
      </c>
      <c r="J27" s="71">
        <f>I27*'Inputs &amp; Outputs'!B$16*'Benefit Calculations'!G27*('Benefit Calculations'!C$4-'Benefit Calculations'!C$5)</f>
        <v>-348.41255863115578</v>
      </c>
      <c r="K27" s="89">
        <f t="shared" si="3"/>
        <v>-9.9855448557404566E-2</v>
      </c>
      <c r="L27" s="72">
        <f>K27*'Assumed Values'!$C$8</f>
        <v>-749.71470776899343</v>
      </c>
      <c r="M27" s="73">
        <f t="shared" si="0"/>
        <v>-158.14998100193566</v>
      </c>
      <c r="N27" s="88">
        <f>I27*'Inputs &amp; Outputs'!B$16*'Benefit Calculations'!G27*('Benefit Calculations'!D$4-'Benefit Calculations'!D$5)</f>
        <v>37.603593514000124</v>
      </c>
      <c r="O27" s="89">
        <f t="shared" si="4"/>
        <v>1.0777234071191766E-2</v>
      </c>
      <c r="P27" s="72">
        <f>ABS(O27*'Assumed Values'!$C$7)</f>
        <v>20.530630905620313</v>
      </c>
      <c r="Q27" s="73">
        <f t="shared" si="1"/>
        <v>4.3308726026514952</v>
      </c>
      <c r="T27" s="85">
        <f t="shared" si="5"/>
        <v>-9.0587265244100504E-2</v>
      </c>
      <c r="U27" s="86">
        <f>T27*'Assumed Values'!$D$8</f>
        <v>0</v>
      </c>
    </row>
    <row r="28" spans="2:21" x14ac:dyDescent="0.25">
      <c r="F28" s="70">
        <f t="shared" si="2"/>
        <v>2042</v>
      </c>
      <c r="G28" s="80">
        <f t="shared" si="6"/>
        <v>23284.984219851664</v>
      </c>
      <c r="H28" s="79">
        <f t="shared" si="8"/>
        <v>6.2550248297112976E-3</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23430.632374306271</v>
      </c>
      <c r="H29" s="79">
        <f t="shared" si="8"/>
        <v>6.2550248297112976E-3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23577.191561583393</v>
      </c>
      <c r="H30" s="79">
        <f t="shared" si="8"/>
        <v>6.2550248297112976E-3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24476</v>
      </c>
      <c r="H31" s="79">
        <f t="shared" si="8"/>
        <v>6.2550248297112976E-3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24629.097987732013</v>
      </c>
      <c r="H32" s="79">
        <f t="shared" si="8"/>
        <v>6.2550248297112976E-3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24783.153607178669</v>
      </c>
      <c r="H33" s="79">
        <f t="shared" si="8"/>
        <v>6.2550248297112976E-3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24938.172848350121</v>
      </c>
      <c r="H34" s="79">
        <f t="shared" si="8"/>
        <v>6.2550248297112976E-3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25094.161738724182</v>
      </c>
      <c r="H35" s="79">
        <f t="shared" si="8"/>
        <v>6.2550248297112976E-3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25251.126343480693</v>
      </c>
      <c r="H36" s="79">
        <f t="shared" si="8"/>
        <v>6.2550248297112976E-3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-6591.1360364533048</v>
      </c>
      <c r="K37" s="71">
        <f t="shared" ref="K37:Q37" si="9">SUM(K4:K36)</f>
        <v>-1.8890273301533749</v>
      </c>
      <c r="L37" s="74">
        <f t="shared" si="9"/>
        <v>-14182.817194791538</v>
      </c>
      <c r="M37" s="75">
        <f t="shared" si="9"/>
        <v>-6062.0018801005599</v>
      </c>
      <c r="N37" s="88">
        <f t="shared" si="9"/>
        <v>711.37045485393332</v>
      </c>
      <c r="O37" s="88">
        <f t="shared" si="9"/>
        <v>0.20387960795386897</v>
      </c>
      <c r="P37" s="76">
        <f t="shared" si="9"/>
        <v>388.39065315212031</v>
      </c>
      <c r="Q37" s="75">
        <f t="shared" si="9"/>
        <v>166.00544428410672</v>
      </c>
      <c r="T37" s="85">
        <f>SUM(T4:T36)</f>
        <v>-1.7136953694778596</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'Inputs &amp; Outputs'!Print_Area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Hidi Wood</cp:lastModifiedBy>
  <cp:lastPrinted>2018-10-23T19:38:51Z</cp:lastPrinted>
  <dcterms:created xsi:type="dcterms:W3CDTF">2012-07-25T15:48:32Z</dcterms:created>
  <dcterms:modified xsi:type="dcterms:W3CDTF">2018-10-23T19:39:13Z</dcterms:modified>
</cp:coreProperties>
</file>