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Y:\City_of_Mont_Belvieu\6228-00_HGAC_TIP_Application_Support\04_ENGR\03_Documents\4. FM 565\"/>
    </mc:Choice>
  </mc:AlternateContent>
  <xr:revisionPtr revIDLastSave="0" documentId="13_ncr:1_{06BC759B-7BE0-499C-B157-3C4FBEE847F6}" xr6:coauthVersionLast="36" xr6:coauthVersionMax="36" xr10:uidLastSave="{00000000-0000-0000-0000-000000000000}"/>
  <bookViews>
    <workbookView xWindow="0" yWindow="0" windowWidth="28800" windowHeight="1221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Outputs'!$A$3:$F$46</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7" i="11" l="1"/>
  <c r="B39" i="11"/>
  <c r="B40" i="11" l="1"/>
  <c r="B38" i="11" l="1"/>
  <c r="B36" i="11" l="1"/>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s="1"/>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s="1"/>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<sst xmlns="http://schemas.openxmlformats.org/spreadsheetml/2006/main" count="292" uniqueCount="237">
  <si>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</si>
  <si>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</si>
  <si>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</si>
  <si>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</si>
  <si>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</si>
  <si>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</si>
  <si>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</si>
  <si>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</si>
  <si>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</si>
  <si>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</si>
  <si>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</si>
  <si>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</si>
  <si>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</si>
  <si>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</si>
  <si>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</si>
  <si>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</si>
  <si>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</si>
  <si>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</si>
  <si>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</si>
  <si>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</si>
  <si>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</si>
  <si>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</si>
  <si>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</si>
  <si>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</si>
  <si>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</si>
  <si>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</si>
  <si>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</si>
  <si>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</si>
  <si>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</si>
  <si>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</si>
  <si>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</si>
  <si>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</si>
  <si>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</si>
  <si>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</si>
  <si>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</si>
  <si>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</si>
  <si>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</si>
  <si>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</si>
  <si>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</si>
  <si>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</si>
  <si>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</si>
  <si>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</si>
  <si>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</si>
  <si>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</si>
  <si>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</si>
  <si>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</si>
  <si>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</si>
  <si>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</si>
  <si>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</si>
  <si>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</si>
  <si>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</si>
  <si>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</si>
  <si>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</si>
  <si>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</si>
  <si>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</si>
  <si>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</si>
  <si>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</si>
  <si>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</si>
  <si>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</si>
  <si>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</si>
  <si>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</si>
  <si>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</si>
  <si>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</si>
  <si>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</si>
  <si>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</si>
  <si>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</si>
  <si>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</si>
  <si>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</si>
  <si>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</si>
  <si>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</si>
  <si>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</si>
  <si>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</si>
  <si>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</si>
  <si>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</si>
  <si>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</si>
  <si>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</si>
  <si>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</si>
  <si>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</si>
  <si>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</si>
  <si>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</si>
  <si>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</si>
  <si>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</si>
  <si>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</si>
  <si>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</si>
  <si>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</si>
  <si>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</si>
  <si>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</si>
  <si>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</si>
  <si>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</si>
  <si>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</si>
  <si>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</si>
  <si>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</si>
  <si>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</si>
  <si>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</si>
  <si>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</si>
  <si>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</si>
  <si>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</si>
  <si>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</si>
  <si>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</si>
  <si>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</si>
  <si>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</si>
  <si>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</si>
  <si>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</si>
  <si>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</si>
  <si>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</si>
  <si>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</si>
  <si>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</si>
  <si>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</si>
  <si>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</si>
  <si>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</si>
  <si>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</si>
  <si>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</si>
  <si>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</si>
  <si>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</si>
  <si>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</si>
  <si>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</si>
  <si>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</si>
  <si>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</si>
  <si>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</si>
  <si>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</si>
  <si>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</si>
  <si>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</si>
  <si>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</si>
  <si>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</si>
  <si>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</si>
  <si>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</si>
  <si>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</si>
  <si>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</si>
  <si>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</si>
  <si>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</si>
  <si>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</si>
  <si>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</si>
  <si>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</si>
  <si>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</si>
  <si>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</si>
  <si>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</si>
  <si>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</si>
  <si>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</si>
  <si>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</si>
  <si>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</si>
  <si>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</si>
  <si>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</si>
  <si>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</si>
  <si>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</si>
  <si>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</si>
  <si>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</si>
  <si>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</si>
  <si>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</si>
  <si>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</si>
  <si>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</si>
  <si>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</si>
  <si>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</si>
  <si>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</si>
  <si>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</si>
  <si>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</si>
  <si>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</si>
  <si>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</si>
  <si>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</si>
  <si>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</si>
  <si>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</si>
  <si>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</si>
  <si>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</si>
  <si>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</si>
  <si>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</si>
  <si>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</si>
  <si>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</si>
  <si>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</si>
  <si>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</si>
  <si>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</si>
  <si>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</si>
  <si>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</si>
  <si>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</si>
  <si>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</si>
  <si>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</si>
  <si>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</si>
  <si>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</si>
  <si>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</si>
  <si>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</si>
  <si>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</si>
  <si>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</si>
  <si>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</si>
  <si>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</si>
  <si>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</si>
  <si>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</si>
  <si>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</si>
  <si>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</si>
  <si>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</si>
  <si>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</si>
  <si>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</si>
  <si>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</si>
  <si>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</si>
  <si>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</si>
  <si>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</si>
  <si>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</si>
  <si>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</si>
  <si>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</si>
  <si>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</si>
  <si>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</si>
  <si>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</si>
  <si>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</si>
  <si>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</si>
  <si>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</si>
  <si>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</si>
  <si>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</si>
  <si>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</si>
  <si>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</si>
  <si>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</si>
  <si>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</si>
  <si>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</si>
  <si>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</si>
  <si>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</si>
  <si>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</si>
  <si>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</si>
  <si>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</si>
  <si>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</si>
  <si>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</si>
  <si>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</si>
  <si>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</si>
  <si>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</si>
  <si>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</si>
  <si>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</si>
  <si>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</si>
  <si>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</si>
  <si>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</si>
  <si>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</si>
  <si>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</si>
  <si>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</si>
  <si>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</si>
  <si>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</si>
  <si>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</si>
  <si>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</si>
  <si>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</si>
  <si>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</si>
  <si>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FM 565</t>
  </si>
  <si>
    <t>SH 99</t>
  </si>
  <si>
    <t>East City Limit</t>
  </si>
  <si>
    <t>Delay Benefits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</si>
</sst>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22"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2:G46"/>
  <sheetViews>
    <sheetView tabSelected="1" topLeftCell="A17" zoomScale="115" zoomScaleNormal="115" workbookViewId="0">
      <selection activeCell="K17" sqref="K17"/>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2" spans="1:7" x14ac:dyDescent="0.25">
      <c r="A2" s="103" t="s">
        <v>236</v>
      </c>
    </row>
    <row r="3" spans="1:7" ht="18.75" x14ac:dyDescent="0.3">
      <c r="A3" s="116" t="s">
        <v>77</v>
      </c>
      <c r="B3" s="112"/>
      <c r="C3" s="112"/>
      <c r="D3" s="112"/>
      <c r="E3" s="112"/>
      <c r="F3" s="117"/>
    </row>
    <row r="4" spans="1:7" x14ac:dyDescent="0.25">
      <c r="F4" s="118"/>
      <c r="G4" s="118"/>
    </row>
    <row r="5" spans="1:7" x14ac:dyDescent="0.25">
      <c r="A5" s="119" t="s">
        <v>96</v>
      </c>
    </row>
    <row r="6" spans="1:7" x14ac:dyDescent="0.25">
      <c r="A6" s="8" t="s">
        <v>97</v>
      </c>
      <c r="B6" s="137" t="s">
        <v>233</v>
      </c>
      <c r="D6" s="8"/>
      <c r="E6" s="103" t="s">
        <v>187</v>
      </c>
    </row>
    <row r="7" spans="1:7" x14ac:dyDescent="0.25">
      <c r="A7" s="8" t="s">
        <v>98</v>
      </c>
      <c r="B7" s="138" t="s">
        <v>198</v>
      </c>
      <c r="D7" s="104"/>
      <c r="E7" s="103" t="s">
        <v>196</v>
      </c>
    </row>
    <row r="8" spans="1:7" x14ac:dyDescent="0.25">
      <c r="A8" s="8" t="s">
        <v>99</v>
      </c>
      <c r="B8" s="138" t="s">
        <v>206</v>
      </c>
      <c r="D8" s="105"/>
      <c r="E8" s="103" t="s">
        <v>216</v>
      </c>
    </row>
    <row r="9" spans="1:7" x14ac:dyDescent="0.25">
      <c r="A9" s="8" t="s">
        <v>100</v>
      </c>
      <c r="B9" s="138" t="s">
        <v>233</v>
      </c>
      <c r="D9" s="106"/>
      <c r="E9" s="103" t="s">
        <v>188</v>
      </c>
    </row>
    <row r="10" spans="1:7" x14ac:dyDescent="0.25">
      <c r="A10" s="8" t="s">
        <v>101</v>
      </c>
      <c r="B10" s="138" t="s">
        <v>234</v>
      </c>
    </row>
    <row r="11" spans="1:7" x14ac:dyDescent="0.25">
      <c r="A11" s="8" t="s">
        <v>102</v>
      </c>
      <c r="B11" s="138" t="s">
        <v>235</v>
      </c>
    </row>
    <row r="12" spans="1:7" x14ac:dyDescent="0.25">
      <c r="A12" s="8" t="s">
        <v>103</v>
      </c>
      <c r="B12" s="138">
        <v>1.7</v>
      </c>
    </row>
    <row r="13" spans="1:7" x14ac:dyDescent="0.25">
      <c r="A13" s="8" t="s">
        <v>68</v>
      </c>
      <c r="B13" s="138"/>
      <c r="F13" s="120"/>
    </row>
    <row r="14" spans="1:7" x14ac:dyDescent="0.25">
      <c r="A14" s="8" t="s">
        <v>69</v>
      </c>
      <c r="B14" s="138"/>
    </row>
    <row r="17" spans="1:7" x14ac:dyDescent="0.25">
      <c r="A17" s="119" t="s">
        <v>120</v>
      </c>
      <c r="E17" s="151" t="s">
        <v>231</v>
      </c>
      <c r="F17" s="152"/>
    </row>
    <row r="18" spans="1:7" x14ac:dyDescent="0.25">
      <c r="A18" s="8" t="s">
        <v>79</v>
      </c>
      <c r="B18" s="139">
        <v>2021</v>
      </c>
      <c r="E18" s="105" t="s">
        <v>232</v>
      </c>
      <c r="F18" s="145">
        <f>$B$12/$B$32</f>
        <v>3.7777777777777778E-2</v>
      </c>
    </row>
    <row r="19" spans="1:7" ht="30" x14ac:dyDescent="0.25">
      <c r="A19" s="8" t="s">
        <v>121</v>
      </c>
      <c r="B19" s="140" t="s">
        <v>128</v>
      </c>
      <c r="E19" s="107" t="s">
        <v>212</v>
      </c>
      <c r="F19" s="146">
        <f>$B$12/$B$33</f>
        <v>4.2499999999999996E-2</v>
      </c>
    </row>
    <row r="20" spans="1:7" ht="30" x14ac:dyDescent="0.25">
      <c r="A20" s="135" t="s">
        <v>208</v>
      </c>
      <c r="B20" s="136">
        <f>VLOOKUP(B19,'Delay Reduction Factors'!B4:C80,2, FALSE)</f>
        <v>0.4</v>
      </c>
      <c r="E20" s="107" t="s">
        <v>209</v>
      </c>
      <c r="F20" s="145">
        <f>$F$19-$F$18</f>
        <v>4.7222222222222179E-3</v>
      </c>
    </row>
    <row r="21" spans="1:7" x14ac:dyDescent="0.25">
      <c r="A21" s="8" t="s">
        <v>104</v>
      </c>
      <c r="B21" s="79">
        <v>20</v>
      </c>
      <c r="D21" s="121"/>
      <c r="E21" s="105" t="s">
        <v>210</v>
      </c>
      <c r="F21" s="145">
        <f>$F$20*$B$20</f>
        <v>1.8888888888888872E-3</v>
      </c>
      <c r="G21" s="122"/>
    </row>
    <row r="22" spans="1:7" s="113" customFormat="1" x14ac:dyDescent="0.25">
      <c r="D22" s="121"/>
      <c r="E22" s="105" t="s">
        <v>211</v>
      </c>
      <c r="F22" s="145">
        <f>$F$20-$F$21</f>
        <v>2.8333333333333309E-3</v>
      </c>
      <c r="G22" s="122"/>
    </row>
    <row r="23" spans="1:7" x14ac:dyDescent="0.25">
      <c r="E23" s="105" t="s">
        <v>213</v>
      </c>
      <c r="F23" s="145">
        <f>$F$18+$F$22</f>
        <v>4.0611111111111112E-2</v>
      </c>
    </row>
    <row r="24" spans="1:7" x14ac:dyDescent="0.25">
      <c r="A24" s="119" t="s">
        <v>94</v>
      </c>
      <c r="B24" s="123"/>
      <c r="D24" s="121"/>
      <c r="G24" s="124"/>
    </row>
    <row r="25" spans="1:7" x14ac:dyDescent="0.25">
      <c r="A25" s="8" t="s">
        <v>218</v>
      </c>
      <c r="B25" s="141">
        <v>10676</v>
      </c>
      <c r="D25" s="121"/>
      <c r="G25" s="124"/>
    </row>
    <row r="28" spans="1:7" x14ac:dyDescent="0.25">
      <c r="A28" s="105" t="s">
        <v>227</v>
      </c>
      <c r="B28" s="134">
        <f>IF(FacilityType='Delay Reduction Factors'!N5,'Inputs &amp; Outputs'!B25*45%, B25*43%)</f>
        <v>4590.68</v>
      </c>
      <c r="D28" s="121"/>
      <c r="E28" s="125" t="s">
        <v>95</v>
      </c>
      <c r="F28" s="126" t="s">
        <v>20</v>
      </c>
      <c r="G28" s="127" t="s">
        <v>19</v>
      </c>
    </row>
    <row r="29" spans="1:7" x14ac:dyDescent="0.25">
      <c r="A29" s="105" t="s">
        <v>228</v>
      </c>
      <c r="B29" s="115">
        <f>VLOOKUP(Year_Open_to_Traffic?,Calculations!H4:I36,2)</f>
        <v>4618.0298714626651</v>
      </c>
      <c r="D29" s="121"/>
      <c r="E29" s="107" t="s">
        <v>122</v>
      </c>
      <c r="F29" s="101">
        <f>$B$29*$F$23</f>
        <v>187.54332422440046</v>
      </c>
      <c r="G29" s="102">
        <f>$B$29*$F$19</f>
        <v>196.26626953716325</v>
      </c>
    </row>
    <row r="30" spans="1:7" x14ac:dyDescent="0.25">
      <c r="A30" s="124"/>
      <c r="B30" s="100"/>
      <c r="D30" s="121"/>
    </row>
    <row r="32" spans="1:7" x14ac:dyDescent="0.25">
      <c r="A32" s="128" t="s">
        <v>221</v>
      </c>
      <c r="B32" s="142">
        <v>45</v>
      </c>
      <c r="D32" s="121"/>
    </row>
    <row r="33" spans="1:7" ht="30" x14ac:dyDescent="0.25">
      <c r="A33" s="129" t="s">
        <v>222</v>
      </c>
      <c r="B33" s="143">
        <v>40</v>
      </c>
      <c r="D33" s="121"/>
      <c r="E33" s="121"/>
      <c r="F33" s="130"/>
      <c r="G33" s="117"/>
    </row>
    <row r="34" spans="1:7" x14ac:dyDescent="0.25">
      <c r="A34" s="131"/>
      <c r="B34" s="144"/>
      <c r="E34" s="117"/>
      <c r="F34" s="130"/>
      <c r="G34" s="130"/>
    </row>
    <row r="35" spans="1:7" x14ac:dyDescent="0.25">
      <c r="A35" s="105" t="s">
        <v>223</v>
      </c>
      <c r="B35" s="148">
        <f>$B$28</f>
        <v>4590.68</v>
      </c>
    </row>
    <row r="36" spans="1:7" x14ac:dyDescent="0.25">
      <c r="A36" s="128" t="s">
        <v>224</v>
      </c>
      <c r="B36" s="142">
        <f>18000*0.43</f>
        <v>7740</v>
      </c>
    </row>
    <row r="37" spans="1:7" x14ac:dyDescent="0.25">
      <c r="A37" s="128" t="s">
        <v>229</v>
      </c>
      <c r="B37" s="142">
        <f>10825*0.43</f>
        <v>4654.75</v>
      </c>
    </row>
    <row r="38" spans="1:7" x14ac:dyDescent="0.25">
      <c r="A38" s="128" t="s">
        <v>225</v>
      </c>
      <c r="B38" s="142">
        <f>33000*0.43</f>
        <v>14190</v>
      </c>
    </row>
    <row r="39" spans="1:7" x14ac:dyDescent="0.25">
      <c r="A39" s="128" t="s">
        <v>230</v>
      </c>
      <c r="B39" s="142">
        <f>12104*0.43</f>
        <v>5204.72</v>
      </c>
    </row>
    <row r="40" spans="1:7" x14ac:dyDescent="0.25">
      <c r="A40" s="128" t="s">
        <v>226</v>
      </c>
      <c r="B40" s="142">
        <f>33000*0.43</f>
        <v>14190</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681.50081039528504</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74" fitToWidth="0" orientation="landscape" r:id="rId1"/>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48761.264298344118</v>
      </c>
      <c r="F4" s="22">
        <f>'Inputs &amp; Outputs'!G29*Annual_Days_of_Travel</f>
        <v>51029.230079662448</v>
      </c>
      <c r="H4" s="59">
        <v>2018</v>
      </c>
      <c r="I4" s="60">
        <f>'Inputs &amp; Outputs'!B28</f>
        <v>4590.68</v>
      </c>
      <c r="J4" s="60">
        <f>IF(H4=Year_Open_to_Traffic?,$F$4,0)</f>
        <v>0</v>
      </c>
      <c r="K4" s="60">
        <f>IF(H4=Year_Open_to_Traffic?,Calculations!$E$4,0)</f>
        <v>0</v>
      </c>
      <c r="L4" s="60">
        <f>IF(AND(H4&gt;=Year_Open_to_Traffic?, Calculations!H4&lt;Year_Open_to_Traffic?+'Inputs &amp; Outputs'!B$21), 1, 0)</f>
        <v>0</v>
      </c>
      <c r="M4" s="81" t="s">
        <v>75</v>
      </c>
      <c r="N4" s="82">
        <f>MIN(E8,1)</f>
        <v>0.59311111111111114</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1.9819675558303551E-3</v>
      </c>
      <c r="F5" s="28"/>
      <c r="H5" s="15">
        <f t="shared" ref="H5:H36" si="3">H4+1</f>
        <v>2019</v>
      </c>
      <c r="I5" s="97">
        <f>(I4*M5)+I4</f>
        <v>4599.7785788191995</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1.9819675558303551E-3</v>
      </c>
      <c r="N5" s="87">
        <f t="shared" ref="N5:N11" si="6">N4*(1+IFERROR(_2018_2025_V_C_Growth,_2018_2045_V_C_Growth))</f>
        <v>0.54499189859869934</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5.5995040743781477E-3</v>
      </c>
      <c r="F6" s="28"/>
      <c r="H6" s="59">
        <f t="shared" si="3"/>
        <v>2020</v>
      </c>
      <c r="I6" s="97">
        <f t="shared" ref="I6:I36" si="10">(I5*M6)+I5</f>
        <v>4608.8951907264227</v>
      </c>
      <c r="J6" s="60">
        <f t="shared" si="4"/>
        <v>0</v>
      </c>
      <c r="K6" s="60">
        <f>IF(H6=Year_Open_to_Traffic?,Calculations!$E$4,K5+(K5*M6))</f>
        <v>0</v>
      </c>
      <c r="L6" s="60">
        <f>IF(AND(H6&gt;=Year_Open_to_Traffic?, Calculations!H6&lt;Year_Open_to_Traffic?+'Inputs &amp; Outputs'!B$21), 1, 0)</f>
        <v>0</v>
      </c>
      <c r="M6" s="81">
        <f t="shared" si="5"/>
        <v>1.9819675558303551E-3</v>
      </c>
      <c r="N6" s="87">
        <f t="shared" si="6"/>
        <v>0.50077660656499334</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4.660372020560688E-3</v>
      </c>
      <c r="F7" s="28"/>
      <c r="H7" s="15">
        <f t="shared" si="3"/>
        <v>2021</v>
      </c>
      <c r="I7" s="97">
        <f t="shared" si="10"/>
        <v>4618.0298714626651</v>
      </c>
      <c r="J7" s="60">
        <f t="shared" si="4"/>
        <v>51029.230079662448</v>
      </c>
      <c r="K7" s="60">
        <f>IF(H7=Year_Open_to_Traffic?,Calculations!$E$4,K6+(K6*M7))</f>
        <v>48761.264298344118</v>
      </c>
      <c r="L7" s="60">
        <f>IF(AND(H7&gt;=Year_Open_to_Traffic?, Calculations!H7&lt;Year_Open_to_Traffic?+'Inputs &amp; Outputs'!B$21), 1, 0)</f>
        <v>1</v>
      </c>
      <c r="M7" s="81">
        <f t="shared" si="5"/>
        <v>1.9819675558303551E-3</v>
      </c>
      <c r="N7" s="87">
        <f t="shared" si="6"/>
        <v>0.46014850923024098</v>
      </c>
      <c r="O7" s="88">
        <f t="shared" si="7"/>
        <v>1</v>
      </c>
      <c r="P7" s="84">
        <f t="shared" si="8"/>
        <v>2267.9657813183294</v>
      </c>
      <c r="Q7" s="85">
        <f t="shared" si="0"/>
        <v>1</v>
      </c>
      <c r="R7" s="86">
        <f t="shared" si="1"/>
        <v>18.980213686084522</v>
      </c>
      <c r="S7" s="94">
        <f t="shared" si="2"/>
        <v>59.834600475387845</v>
      </c>
      <c r="T7" s="80">
        <f t="shared" si="9"/>
        <v>48.842857332671457</v>
      </c>
    </row>
    <row r="8" spans="1:24" x14ac:dyDescent="0.25">
      <c r="A8" s="18" t="s">
        <v>27</v>
      </c>
      <c r="B8" s="18">
        <v>260</v>
      </c>
      <c r="D8" s="18" t="s">
        <v>66</v>
      </c>
      <c r="E8" s="23">
        <f>_2018_PeakVolume/_2018_Capacity</f>
        <v>0.59311111111111114</v>
      </c>
      <c r="F8" s="28"/>
      <c r="H8" s="59">
        <f t="shared" si="3"/>
        <v>2022</v>
      </c>
      <c r="I8" s="97">
        <f t="shared" si="10"/>
        <v>4627.1826568397591</v>
      </c>
      <c r="J8" s="60">
        <f t="shared" si="4"/>
        <v>51130.368358079344</v>
      </c>
      <c r="K8" s="60">
        <f>IF(H8=Year_Open_to_Traffic?,Calculations!$E$4,K7+(K7*M8))</f>
        <v>48857.907542164707</v>
      </c>
      <c r="L8" s="60">
        <f>IF(AND(H8&gt;=Year_Open_to_Traffic?, Calculations!H8&lt;Year_Open_to_Traffic?+'Inputs &amp; Outputs'!B$21), 1, 0)</f>
        <v>1</v>
      </c>
      <c r="M8" s="81">
        <f t="shared" si="5"/>
        <v>1.9819675558303551E-3</v>
      </c>
      <c r="N8" s="87">
        <f t="shared" si="6"/>
        <v>0.42281657683491031</v>
      </c>
      <c r="O8" s="88">
        <f t="shared" si="7"/>
        <v>1</v>
      </c>
      <c r="P8" s="84">
        <f>(J8-K8)*L8</f>
        <v>2272.4608159146374</v>
      </c>
      <c r="Q8" s="85">
        <f>IF(AND(H8&gt;=Year_Open_to_Traffic?,H8&lt;Year_Open_to_Traffic?+Years_to_include_in_BCA_Analysis),1,0)</f>
        <v>1</v>
      </c>
      <c r="R8" s="86">
        <f t="shared" si="1"/>
        <v>19.416758600864465</v>
      </c>
      <c r="S8" s="94">
        <f t="shared" si="2"/>
        <v>61.332114098627841</v>
      </c>
      <c r="T8" s="80">
        <f t="shared" si="9"/>
        <v>46.789976190595695</v>
      </c>
      <c r="W8" s="73"/>
      <c r="X8" s="73"/>
    </row>
    <row r="9" spans="1:24" x14ac:dyDescent="0.25">
      <c r="A9" s="18" t="s">
        <v>64</v>
      </c>
      <c r="B9" s="18">
        <f>'Inputs &amp; Outputs'!B21</f>
        <v>20</v>
      </c>
      <c r="D9" s="18" t="s">
        <v>65</v>
      </c>
      <c r="E9" s="23">
        <f>_2025_PeakVolume/_2025_Capacity</f>
        <v>0.32803030303030301</v>
      </c>
      <c r="F9" s="28"/>
      <c r="H9" s="15">
        <f t="shared" si="3"/>
        <v>2023</v>
      </c>
      <c r="I9" s="97">
        <f t="shared" si="10"/>
        <v>4636.3535827405167</v>
      </c>
      <c r="J9" s="60">
        <f t="shared" si="4"/>
        <v>51231.707089282711</v>
      </c>
      <c r="K9" s="60">
        <f>IF(H9=Year_Open_to_Traffic?,Calculations!$E$4,K8+(K8*M9))</f>
        <v>48954.742329759036</v>
      </c>
      <c r="L9" s="60">
        <f>IF(AND(H9&gt;=Year_Open_to_Traffic?, Calculations!H9&lt;Year_Open_to_Traffic?+'Inputs &amp; Outputs'!B$21), 1, 0)</f>
        <v>1</v>
      </c>
      <c r="M9" s="81">
        <f t="shared" si="5"/>
        <v>1.9819675558303551E-3</v>
      </c>
      <c r="N9" s="87">
        <f t="shared" si="6"/>
        <v>0.38851339091688747</v>
      </c>
      <c r="O9" s="88">
        <f t="shared" si="7"/>
        <v>1</v>
      </c>
      <c r="P9" s="84">
        <f t="shared" si="8"/>
        <v>2276.9647595236747</v>
      </c>
      <c r="Q9" s="85">
        <f t="shared" si="0"/>
        <v>1</v>
      </c>
      <c r="R9" s="86">
        <f t="shared" si="1"/>
        <v>19.863344048684343</v>
      </c>
      <c r="S9" s="94">
        <f t="shared" si="2"/>
        <v>62.86710682315649</v>
      </c>
      <c r="T9" s="80">
        <f t="shared" si="9"/>
        <v>44.823378309034005</v>
      </c>
      <c r="W9" s="73"/>
    </row>
    <row r="10" spans="1:24" x14ac:dyDescent="0.25">
      <c r="D10" s="18" t="s">
        <v>82</v>
      </c>
      <c r="E10" s="23">
        <f>_2045_PeakVolume/_2045_Capacity</f>
        <v>0.36678787878787883</v>
      </c>
      <c r="F10" s="28"/>
      <c r="H10" s="59">
        <f t="shared" si="3"/>
        <v>2024</v>
      </c>
      <c r="I10" s="97">
        <f t="shared" si="10"/>
        <v>4645.5426851188658</v>
      </c>
      <c r="J10" s="60">
        <f t="shared" si="4"/>
        <v>51333.246670563472</v>
      </c>
      <c r="K10" s="60">
        <f>IF(H10=Year_Open_to_Traffic?,Calculations!$E$4,K9+(K9*M10))</f>
        <v>49051.76904076065</v>
      </c>
      <c r="L10" s="60">
        <f>IF(AND(H10&gt;=Year_Open_to_Traffic?, Calculations!H10&lt;Year_Open_to_Traffic?+'Inputs &amp; Outputs'!B$21), 1, 0)</f>
        <v>1</v>
      </c>
      <c r="M10" s="81">
        <f t="shared" si="5"/>
        <v>1.9819675558303551E-3</v>
      </c>
      <c r="N10" s="87">
        <f t="shared" si="6"/>
        <v>0.35699322872261491</v>
      </c>
      <c r="O10" s="88">
        <f t="shared" si="7"/>
        <v>1</v>
      </c>
      <c r="P10" s="84">
        <f>(J10-K10)*L10</f>
        <v>2281.4776298028228</v>
      </c>
      <c r="Q10" s="85">
        <f t="shared" si="0"/>
        <v>1</v>
      </c>
      <c r="R10" s="86">
        <f t="shared" si="1"/>
        <v>20.320200961804083</v>
      </c>
      <c r="S10" s="94">
        <f t="shared" si="2"/>
        <v>64.440516659160807</v>
      </c>
      <c r="T10" s="80">
        <f t="shared" si="9"/>
        <v>42.939437174550235</v>
      </c>
      <c r="W10" s="73"/>
    </row>
    <row r="11" spans="1:24" ht="30" customHeight="1" x14ac:dyDescent="0.25">
      <c r="A11" s="153" t="s">
        <v>219</v>
      </c>
      <c r="B11" s="154"/>
      <c r="D11" s="18" t="s">
        <v>70</v>
      </c>
      <c r="E11" s="46">
        <f>(E9/E8)^(1/(2025-2018))-1</f>
        <v>-8.1130182205265355E-2</v>
      </c>
      <c r="F11" s="28"/>
      <c r="H11" s="15">
        <f t="shared" si="3"/>
        <v>2025</v>
      </c>
      <c r="I11" s="97">
        <f t="shared" si="10"/>
        <v>4654.7499999999964</v>
      </c>
      <c r="J11" s="60">
        <f t="shared" si="4"/>
        <v>51434.987499999967</v>
      </c>
      <c r="K11" s="60">
        <f>IF(H11=Year_Open_to_Traffic?,Calculations!$E$4,K10+(K10*M11))</f>
        <v>49148.988055555521</v>
      </c>
      <c r="L11" s="60">
        <f>IF(AND(H11&gt;=Year_Open_to_Traffic?, Calculations!H11&lt;Year_Open_to_Traffic?+'Inputs &amp; Outputs'!B$21), 1, 0)</f>
        <v>1</v>
      </c>
      <c r="M11" s="81">
        <f t="shared" si="5"/>
        <v>1.9819675558303551E-3</v>
      </c>
      <c r="N11" s="87">
        <f t="shared" si="6"/>
        <v>0.32803030303030317</v>
      </c>
      <c r="O11" s="88">
        <f t="shared" si="7"/>
        <v>1</v>
      </c>
      <c r="P11" s="84">
        <f t="shared" si="8"/>
        <v>2285.9994444444455</v>
      </c>
      <c r="Q11" s="85">
        <f t="shared" si="0"/>
        <v>1</v>
      </c>
      <c r="R11" s="86">
        <f t="shared" si="1"/>
        <v>20.787565583925574</v>
      </c>
      <c r="S11" s="94">
        <f t="shared" si="2"/>
        <v>66.053305092926806</v>
      </c>
      <c r="T11" s="80">
        <f t="shared" si="9"/>
        <v>41.134678697244318</v>
      </c>
      <c r="W11" s="73"/>
    </row>
    <row r="12" spans="1:24" x14ac:dyDescent="0.25">
      <c r="A12" s="18" t="s">
        <v>205</v>
      </c>
      <c r="B12" s="19">
        <v>0.45</v>
      </c>
      <c r="D12" s="18" t="s">
        <v>83</v>
      </c>
      <c r="E12" s="46">
        <f>(E10/E9)^(1/(2045-2025))-1</f>
        <v>5.5995040743781477E-3</v>
      </c>
      <c r="F12" s="28"/>
      <c r="H12" s="59">
        <v>2026</v>
      </c>
      <c r="I12" s="97">
        <f t="shared" si="10"/>
        <v>4680.8142915902081</v>
      </c>
      <c r="J12" s="60">
        <f t="shared" si="4"/>
        <v>51722.997922071809</v>
      </c>
      <c r="K12" s="60">
        <f>IF(H12=Year_Open_to_Traffic?,Calculations!$E$4,K11+(K11*M12))</f>
        <v>49424.198014424168</v>
      </c>
      <c r="L12" s="60">
        <f>IF(AND(H12&gt;=Year_Open_to_Traffic?, Calculations!H12&lt;Year_Open_to_Traffic?+'Inputs &amp; Outputs'!B$21), 1, 0)</f>
        <v>1</v>
      </c>
      <c r="M12" s="81">
        <f t="shared" ref="M12:M36" si="11">IFERROR(_2025_2045_Demand_Growth,_2018_2045_Demand_Growth)</f>
        <v>5.5995040743781477E-3</v>
      </c>
      <c r="N12" s="87">
        <f t="shared" ref="N12:N36" si="12">N11*(1+IFERROR(_2025_2045_V_C_Growth,_2018_2045_V_C_Growth))</f>
        <v>0.32986711004864083</v>
      </c>
      <c r="O12" s="88">
        <f t="shared" si="7"/>
        <v>1</v>
      </c>
      <c r="P12" s="84">
        <f t="shared" si="8"/>
        <v>2298.7999076476408</v>
      </c>
      <c r="Q12" s="85">
        <f t="shared" si="0"/>
        <v>1</v>
      </c>
      <c r="R12" s="86">
        <f t="shared" si="1"/>
        <v>21.265679592355859</v>
      </c>
      <c r="S12" s="94">
        <f t="shared" si="2"/>
        <v>67.950903773331021</v>
      </c>
      <c r="T12" s="80">
        <f t="shared" si="9"/>
        <v>39.548044659501478</v>
      </c>
      <c r="W12" s="73"/>
    </row>
    <row r="13" spans="1:24" x14ac:dyDescent="0.25">
      <c r="A13" s="18" t="s">
        <v>206</v>
      </c>
      <c r="B13" s="19">
        <v>0.43</v>
      </c>
      <c r="D13" s="18" t="s">
        <v>84</v>
      </c>
      <c r="E13" s="46">
        <f>(E10/E8)^(1/(2045-2018))-1</f>
        <v>-1.7642445156518916E-2</v>
      </c>
      <c r="F13" s="28"/>
      <c r="H13" s="15">
        <f t="shared" si="3"/>
        <v>2027</v>
      </c>
      <c r="I13" s="97">
        <f t="shared" si="10"/>
        <v>4707.0245302873745</v>
      </c>
      <c r="J13" s="60">
        <f t="shared" si="4"/>
        <v>52012.621059675505</v>
      </c>
      <c r="K13" s="60">
        <f>IF(H13=Year_Open_to_Traffic?,Calculations!$E$4,K12+(K12*M13))</f>
        <v>49700.949012578807</v>
      </c>
      <c r="L13" s="60">
        <f>IF(AND(H13&gt;=Year_Open_to_Traffic?, Calculations!H13&lt;Year_Open_to_Traffic?+'Inputs &amp; Outputs'!B$21), 1, 0)</f>
        <v>1</v>
      </c>
      <c r="M13" s="81">
        <f t="shared" si="11"/>
        <v>5.5995040743781477E-3</v>
      </c>
      <c r="N13" s="87">
        <f t="shared" si="12"/>
        <v>0.33171420227536152</v>
      </c>
      <c r="O13" s="88">
        <f t="shared" si="7"/>
        <v>1</v>
      </c>
      <c r="P13" s="84">
        <f t="shared" si="8"/>
        <v>2311.6720470966975</v>
      </c>
      <c r="Q13" s="85">
        <f t="shared" si="0"/>
        <v>1</v>
      </c>
      <c r="R13" s="86">
        <f t="shared" si="1"/>
        <v>21.754790222980041</v>
      </c>
      <c r="S13" s="94">
        <f t="shared" si="2"/>
        <v>69.903017223992535</v>
      </c>
      <c r="T13" s="80">
        <f t="shared" si="9"/>
        <v>38.02260977657042</v>
      </c>
      <c r="W13" s="73"/>
    </row>
    <row r="14" spans="1:24" x14ac:dyDescent="0.25">
      <c r="H14" s="59">
        <f>H13+1</f>
        <v>2028</v>
      </c>
      <c r="I14" s="97">
        <f t="shared" si="10"/>
        <v>4733.3815333229168</v>
      </c>
      <c r="J14" s="60">
        <f t="shared" si="4"/>
        <v>52303.865943218247</v>
      </c>
      <c r="K14" s="60">
        <f>IF(H14=Year_Open_to_Traffic?,Calculations!$E$4,K13+(K13*M14))</f>
        <v>49979.249679075205</v>
      </c>
      <c r="L14" s="60">
        <f>IF(AND(H14&gt;=Year_Open_to_Traffic?, Calculations!H14&lt;Year_Open_to_Traffic?+'Inputs &amp; Outputs'!B$21), 1, 0)</f>
        <v>1</v>
      </c>
      <c r="M14" s="81">
        <f t="shared" si="11"/>
        <v>5.5995040743781477E-3</v>
      </c>
      <c r="N14" s="87">
        <f t="shared" si="12"/>
        <v>0.33357163730253153</v>
      </c>
      <c r="O14" s="88">
        <f t="shared" si="7"/>
        <v>1</v>
      </c>
      <c r="P14" s="84">
        <f t="shared" si="8"/>
        <v>2324.6162641430419</v>
      </c>
      <c r="Q14" s="85">
        <f t="shared" si="0"/>
        <v>1</v>
      </c>
      <c r="R14" s="86">
        <f t="shared" si="1"/>
        <v>22.255150398108579</v>
      </c>
      <c r="S14" s="94">
        <f t="shared" si="2"/>
        <v>71.911211561185851</v>
      </c>
      <c r="T14" s="80">
        <f t="shared" si="9"/>
        <v>36.556013493678762</v>
      </c>
      <c r="W14" s="73"/>
    </row>
    <row r="15" spans="1:24" x14ac:dyDescent="0.25">
      <c r="H15" s="15">
        <f t="shared" si="3"/>
        <v>2029</v>
      </c>
      <c r="I15" s="97">
        <f t="shared" si="10"/>
        <v>4759.8861225043447</v>
      </c>
      <c r="J15" s="60">
        <f t="shared" si="4"/>
        <v>52596.741653673023</v>
      </c>
      <c r="K15" s="60">
        <f>IF(H15=Year_Open_to_Traffic?,Calculations!$E$4,K14+(K14*M15))</f>
        <v>50259.108691287547</v>
      </c>
      <c r="L15" s="60">
        <f>IF(AND(H15&gt;=Year_Open_to_Traffic?, Calculations!H15&lt;Year_Open_to_Traffic?+'Inputs &amp; Outputs'!B$21), 1, 0)</f>
        <v>1</v>
      </c>
      <c r="M15" s="81">
        <f t="shared" si="11"/>
        <v>5.5995040743781477E-3</v>
      </c>
      <c r="N15" s="87">
        <f t="shared" si="12"/>
        <v>0.33543947304470406</v>
      </c>
      <c r="O15" s="88">
        <f t="shared" si="7"/>
        <v>1</v>
      </c>
      <c r="P15" s="84">
        <f t="shared" si="8"/>
        <v>2337.6329623854763</v>
      </c>
      <c r="Q15" s="85">
        <f t="shared" si="0"/>
        <v>1</v>
      </c>
      <c r="R15" s="86">
        <f t="shared" si="1"/>
        <v>22.767018857265079</v>
      </c>
      <c r="S15" s="94">
        <f t="shared" si="2"/>
        <v>73.977097893032436</v>
      </c>
      <c r="T15" s="80">
        <f t="shared" si="9"/>
        <v>35.145986306639024</v>
      </c>
      <c r="W15" s="73"/>
    </row>
    <row r="16" spans="1:24" x14ac:dyDescent="0.25">
      <c r="H16" s="59">
        <f t="shared" si="3"/>
        <v>2030</v>
      </c>
      <c r="I16" s="97">
        <f t="shared" si="10"/>
        <v>4786.5391242408841</v>
      </c>
      <c r="J16" s="60">
        <f t="shared" si="4"/>
        <v>52891.257322861784</v>
      </c>
      <c r="K16" s="60">
        <f>IF(H16=Year_Open_to_Traffic?,Calculations!$E$4,K15+(K15*M16))</f>
        <v>50540.534775179025</v>
      </c>
      <c r="L16" s="60">
        <f>IF(AND(H16&gt;=Year_Open_to_Traffic?, Calculations!H16&lt;Year_Open_to_Traffic?+'Inputs &amp; Outputs'!B$21), 1, 0)</f>
        <v>1</v>
      </c>
      <c r="M16" s="81">
        <f t="shared" si="11"/>
        <v>5.5995040743781477E-3</v>
      </c>
      <c r="N16" s="87">
        <f t="shared" si="12"/>
        <v>0.33731776774072514</v>
      </c>
      <c r="O16" s="88">
        <f t="shared" si="7"/>
        <v>1</v>
      </c>
      <c r="P16" s="84">
        <f t="shared" si="8"/>
        <v>2350.7225476827589</v>
      </c>
      <c r="Q16" s="85">
        <f t="shared" si="0"/>
        <v>1</v>
      </c>
      <c r="R16" s="86">
        <f t="shared" si="1"/>
        <v>23.290660290982171</v>
      </c>
      <c r="S16" s="94">
        <f t="shared" si="2"/>
        <v>76.102333612039473</v>
      </c>
      <c r="T16" s="80">
        <f t="shared" si="9"/>
        <v>33.790346249873707</v>
      </c>
      <c r="W16" s="73"/>
    </row>
    <row r="17" spans="1:23" x14ac:dyDescent="0.25">
      <c r="A17" s="29"/>
      <c r="H17" s="15">
        <f t="shared" si="3"/>
        <v>2031</v>
      </c>
      <c r="I17" s="97">
        <f t="shared" si="10"/>
        <v>4813.3413695692416</v>
      </c>
      <c r="J17" s="60">
        <f t="shared" si="4"/>
        <v>53187.422133740132</v>
      </c>
      <c r="K17" s="60">
        <f>IF(H17=Year_Open_to_Traffic?,Calculations!$E$4,K16+(K16*M17))</f>
        <v>50823.53670557389</v>
      </c>
      <c r="L17" s="60">
        <f>IF(AND(H17&gt;=Year_Open_to_Traffic?, Calculations!H17&lt;Year_Open_to_Traffic?+'Inputs &amp; Outputs'!B$21), 1, 0)</f>
        <v>1</v>
      </c>
      <c r="M17" s="81">
        <f t="shared" si="11"/>
        <v>5.5995040743781477E-3</v>
      </c>
      <c r="N17" s="87">
        <f t="shared" si="12"/>
        <v>0.33920657995554948</v>
      </c>
      <c r="O17" s="88">
        <f t="shared" si="7"/>
        <v>1</v>
      </c>
      <c r="P17" s="84">
        <f t="shared" si="8"/>
        <v>2363.8854281662425</v>
      </c>
      <c r="Q17" s="85">
        <f t="shared" si="0"/>
        <v>1</v>
      </c>
      <c r="R17" s="86">
        <f t="shared" si="1"/>
        <v>23.82634547767476</v>
      </c>
      <c r="S17" s="94">
        <f t="shared" si="2"/>
        <v>78.288623724770716</v>
      </c>
      <c r="T17" s="80">
        <f t="shared" si="9"/>
        <v>32.486995519902948</v>
      </c>
      <c r="W17" s="73"/>
    </row>
    <row r="18" spans="1:23" x14ac:dyDescent="0.25">
      <c r="H18" s="59">
        <f t="shared" si="3"/>
        <v>2032</v>
      </c>
      <c r="I18" s="97">
        <f t="shared" si="10"/>
        <v>4840.2936941795178</v>
      </c>
      <c r="J18" s="60">
        <f t="shared" si="4"/>
        <v>53485.24532068368</v>
      </c>
      <c r="K18" s="60">
        <f>IF(H18=Year_Open_to_Traffic?,Calculations!$E$4,K17+(K17*M18))</f>
        <v>51108.123306431058</v>
      </c>
      <c r="L18" s="60">
        <f>IF(AND(H18&gt;=Year_Open_to_Traffic?, Calculations!H18&lt;Year_Open_to_Traffic?+'Inputs &amp; Outputs'!B$21), 1, 0)</f>
        <v>1</v>
      </c>
      <c r="M18" s="81">
        <f t="shared" si="11"/>
        <v>5.5995040743781477E-3</v>
      </c>
      <c r="N18" s="87">
        <f t="shared" si="12"/>
        <v>0.34110596858206643</v>
      </c>
      <c r="O18" s="88">
        <f t="shared" si="7"/>
        <v>1</v>
      </c>
      <c r="P18" s="84">
        <f t="shared" si="8"/>
        <v>2377.1220142526217</v>
      </c>
      <c r="Q18" s="85">
        <f t="shared" si="0"/>
        <v>1</v>
      </c>
      <c r="R18" s="86">
        <f t="shared" si="1"/>
        <v>24.374351423661277</v>
      </c>
      <c r="S18" s="94">
        <f t="shared" si="2"/>
        <v>80.537722219717793</v>
      </c>
      <c r="T18" s="80">
        <f t="shared" si="9"/>
        <v>31.233917229070659</v>
      </c>
      <c r="W18" s="73"/>
    </row>
    <row r="19" spans="1:23" x14ac:dyDescent="0.25">
      <c r="H19" s="15">
        <f t="shared" si="3"/>
        <v>2033</v>
      </c>
      <c r="I19" s="97">
        <f t="shared" si="10"/>
        <v>4867.396938441263</v>
      </c>
      <c r="J19" s="60">
        <f t="shared" si="4"/>
        <v>53784.736169775962</v>
      </c>
      <c r="K19" s="60">
        <f>IF(H19=Year_Open_to_Traffic?,Calculations!$E$4,K18+(K18*M19))</f>
        <v>51394.303451119238</v>
      </c>
      <c r="L19" s="60">
        <f>IF(AND(H19&gt;=Year_Open_to_Traffic?, Calculations!H19&lt;Year_Open_to_Traffic?+'Inputs &amp; Outputs'!B$21), 1, 0)</f>
        <v>1</v>
      </c>
      <c r="M19" s="81">
        <f t="shared" si="11"/>
        <v>5.5995040743781477E-3</v>
      </c>
      <c r="N19" s="87">
        <f t="shared" si="12"/>
        <v>0.34301599284293643</v>
      </c>
      <c r="O19" s="88">
        <f t="shared" si="7"/>
        <v>1</v>
      </c>
      <c r="P19" s="84">
        <f t="shared" si="8"/>
        <v>2390.4327186567243</v>
      </c>
      <c r="Q19" s="85">
        <f t="shared" si="0"/>
        <v>1</v>
      </c>
      <c r="R19" s="86">
        <f t="shared" si="1"/>
        <v>24.934961506405479</v>
      </c>
      <c r="S19" s="94">
        <f t="shared" si="2"/>
        <v>82.851433474467086</v>
      </c>
      <c r="T19" s="80">
        <f t="shared" si="9"/>
        <v>30.029172284484353</v>
      </c>
      <c r="W19" s="73"/>
    </row>
    <row r="20" spans="1:23" x14ac:dyDescent="0.25">
      <c r="H20" s="59">
        <f t="shared" si="3"/>
        <v>2034</v>
      </c>
      <c r="I20" s="97">
        <f t="shared" si="10"/>
        <v>4894.6519474296811</v>
      </c>
      <c r="J20" s="60">
        <f t="shared" si="4"/>
        <v>54085.904019097979</v>
      </c>
      <c r="K20" s="60">
        <f>IF(H20=Year_Open_to_Traffic?,Calculations!$E$4,K19+(K19*M20))</f>
        <v>51682.086062693605</v>
      </c>
      <c r="L20" s="60">
        <f>IF(AND(H20&gt;=Year_Open_to_Traffic?, Calculations!H20&lt;Year_Open_to_Traffic?+'Inputs &amp; Outputs'!B$21), 1, 0)</f>
        <v>1</v>
      </c>
      <c r="M20" s="81">
        <f t="shared" si="11"/>
        <v>5.5995040743781477E-3</v>
      </c>
      <c r="N20" s="87">
        <f t="shared" si="12"/>
        <v>0.34493671229243733</v>
      </c>
      <c r="O20" s="88">
        <f t="shared" si="7"/>
        <v>1</v>
      </c>
      <c r="P20" s="84">
        <f t="shared" si="8"/>
        <v>2403.8179564043749</v>
      </c>
      <c r="Q20" s="85">
        <f t="shared" si="0"/>
        <v>1</v>
      </c>
      <c r="R20" s="86">
        <f t="shared" si="1"/>
        <v>25.508465621052807</v>
      </c>
      <c r="S20" s="94">
        <f t="shared" si="2"/>
        <v>85.231613703292453</v>
      </c>
      <c r="T20" s="80">
        <f t="shared" si="9"/>
        <v>28.870896387339769</v>
      </c>
      <c r="W20" s="73"/>
    </row>
    <row r="21" spans="1:23" x14ac:dyDescent="0.25">
      <c r="H21" s="15">
        <f t="shared" si="3"/>
        <v>2035</v>
      </c>
      <c r="I21" s="97">
        <f t="shared" si="10"/>
        <v>4922.0595709519766</v>
      </c>
      <c r="J21" s="60">
        <f t="shared" si="4"/>
        <v>54388.758259019341</v>
      </c>
      <c r="K21" s="60">
        <f>IF(H21=Year_Open_to_Traffic?,Calculations!$E$4,K20+(K20*M21))</f>
        <v>51971.480114174017</v>
      </c>
      <c r="L21" s="60">
        <f>IF(AND(H21&gt;=Year_Open_to_Traffic?, Calculations!H21&lt;Year_Open_to_Traffic?+'Inputs &amp; Outputs'!B$21), 1, 0)</f>
        <v>1</v>
      </c>
      <c r="M21" s="81">
        <f t="shared" si="11"/>
        <v>5.5995040743781477E-3</v>
      </c>
      <c r="N21" s="87">
        <f t="shared" si="12"/>
        <v>0.34686818681832143</v>
      </c>
      <c r="O21" s="88">
        <f t="shared" si="7"/>
        <v>1</v>
      </c>
      <c r="P21" s="84">
        <f t="shared" si="8"/>
        <v>2417.2781448453243</v>
      </c>
      <c r="Q21" s="85">
        <f t="shared" si="0"/>
        <v>1</v>
      </c>
      <c r="R21" s="86">
        <f t="shared" si="1"/>
        <v>26.095160330337016</v>
      </c>
      <c r="S21" s="94">
        <f t="shared" si="2"/>
        <v>87.680172446334126</v>
      </c>
      <c r="T21" s="80">
        <f t="shared" si="9"/>
        <v>27.757297147986293</v>
      </c>
      <c r="W21" s="73"/>
    </row>
    <row r="22" spans="1:23" x14ac:dyDescent="0.25">
      <c r="H22" s="59">
        <f>H21+1</f>
        <v>2036</v>
      </c>
      <c r="I22" s="97">
        <f t="shared" si="10"/>
        <v>4949.6206635738545</v>
      </c>
      <c r="J22" s="60">
        <f t="shared" si="4"/>
        <v>54693.308332491091</v>
      </c>
      <c r="K22" s="60">
        <f>IF(H22=Year_Open_to_Traffic?,Calculations!$E$4,K21+(K21*M22))</f>
        <v>52262.494628824796</v>
      </c>
      <c r="L22" s="60">
        <f>IF(AND(H22&gt;=Year_Open_to_Traffic?, Calculations!H22&lt;Year_Open_to_Traffic?+'Inputs &amp; Outputs'!B$21), 1, 0)</f>
        <v>1</v>
      </c>
      <c r="M22" s="81">
        <f t="shared" si="11"/>
        <v>5.5995040743781477E-3</v>
      </c>
      <c r="N22" s="87">
        <f t="shared" si="12"/>
        <v>0.34881047664368281</v>
      </c>
      <c r="O22" s="88">
        <f t="shared" si="7"/>
        <v>1</v>
      </c>
      <c r="P22" s="84">
        <f t="shared" si="8"/>
        <v>2430.8137036662956</v>
      </c>
      <c r="Q22" s="85">
        <f t="shared" si="0"/>
        <v>1</v>
      </c>
      <c r="R22" s="86">
        <f t="shared" si="1"/>
        <v>26.695349017934767</v>
      </c>
      <c r="S22" s="94">
        <f t="shared" si="2"/>
        <v>90.199074101561067</v>
      </c>
      <c r="T22" s="80">
        <f t="shared" si="9"/>
        <v>26.686651312269905</v>
      </c>
      <c r="W22" s="73"/>
    </row>
    <row r="23" spans="1:23" x14ac:dyDescent="0.25">
      <c r="H23" s="15">
        <f t="shared" si="3"/>
        <v>2037</v>
      </c>
      <c r="I23" s="97">
        <f t="shared" si="10"/>
        <v>4977.3360846461628</v>
      </c>
      <c r="J23" s="60">
        <f t="shared" si="4"/>
        <v>54999.563735340096</v>
      </c>
      <c r="K23" s="60">
        <f>IF(H23=Year_Open_to_Traffic?,Calculations!$E$4,K22+(K22*M23))</f>
        <v>52555.138680436066</v>
      </c>
      <c r="L23" s="60">
        <f>IF(AND(H23&gt;=Year_Open_to_Traffic?, Calculations!H23&lt;Year_Open_to_Traffic?+'Inputs &amp; Outputs'!B$21), 1, 0)</f>
        <v>1</v>
      </c>
      <c r="M23" s="81">
        <f t="shared" si="11"/>
        <v>5.5995040743781477E-3</v>
      </c>
      <c r="N23" s="87">
        <f t="shared" si="12"/>
        <v>0.35076364232883489</v>
      </c>
      <c r="O23" s="88">
        <f t="shared" si="7"/>
        <v>1</v>
      </c>
      <c r="P23" s="84">
        <f t="shared" si="8"/>
        <v>2444.4250549040298</v>
      </c>
      <c r="Q23" s="85">
        <f t="shared" si="0"/>
        <v>1</v>
      </c>
      <c r="R23" s="86">
        <f t="shared" si="1"/>
        <v>27.309342045347261</v>
      </c>
      <c r="S23" s="94">
        <f t="shared" si="2"/>
        <v>92.790339500741368</v>
      </c>
      <c r="T23" s="80">
        <f t="shared" si="9"/>
        <v>25.657302094859848</v>
      </c>
      <c r="W23" s="73"/>
    </row>
    <row r="24" spans="1:23" x14ac:dyDescent="0.25">
      <c r="H24" s="59">
        <f t="shared" si="3"/>
        <v>2038</v>
      </c>
      <c r="I24" s="97">
        <f t="shared" si="10"/>
        <v>5005.2066983316881</v>
      </c>
      <c r="J24" s="60">
        <f t="shared" si="4"/>
        <v>55307.534016565151</v>
      </c>
      <c r="K24" s="60">
        <f>IF(H24=Year_Open_to_Traffic?,Calculations!$E$4,K23+(K23*M24))</f>
        <v>52849.421393606674</v>
      </c>
      <c r="L24" s="60">
        <f>IF(AND(H24&gt;=Year_Open_to_Traffic?, Calculations!H24&lt;Year_Open_to_Traffic?+'Inputs &amp; Outputs'!B$21), 1, 0)</f>
        <v>1</v>
      </c>
      <c r="M24" s="81">
        <f t="shared" si="11"/>
        <v>5.5995040743781477E-3</v>
      </c>
      <c r="N24" s="87">
        <f t="shared" si="12"/>
        <v>0.3527277447731989</v>
      </c>
      <c r="O24" s="88">
        <f t="shared" si="7"/>
        <v>1</v>
      </c>
      <c r="P24" s="84">
        <f>(J24-K24)*L24</f>
        <v>2458.112622958477</v>
      </c>
      <c r="Q24" s="85">
        <f t="shared" si="0"/>
        <v>1</v>
      </c>
      <c r="R24" s="86">
        <f t="shared" si="1"/>
        <v>27.93745691239025</v>
      </c>
      <c r="S24" s="94">
        <f t="shared" si="2"/>
        <v>95.456047530689972</v>
      </c>
      <c r="T24" s="80">
        <f t="shared" si="9"/>
        <v>24.667656615434158</v>
      </c>
      <c r="W24" s="73"/>
    </row>
    <row r="25" spans="1:23" x14ac:dyDescent="0.25">
      <c r="H25" s="15">
        <f t="shared" si="3"/>
        <v>2039</v>
      </c>
      <c r="I25" s="97">
        <f t="shared" si="10"/>
        <v>5033.2333736321016</v>
      </c>
      <c r="J25" s="60">
        <f t="shared" si="4"/>
        <v>55617.228778634715</v>
      </c>
      <c r="K25" s="60">
        <f>IF(H25=Year_Open_to_Traffic?,Calculations!$E$4,K24+(K24*M25))</f>
        <v>53145.351944028698</v>
      </c>
      <c r="L25" s="60">
        <f>IF(AND(H25&gt;=Year_Open_to_Traffic?, Calculations!H25&lt;Year_Open_to_Traffic?+'Inputs &amp; Outputs'!B$21), 1, 0)</f>
        <v>1</v>
      </c>
      <c r="M25" s="81">
        <f t="shared" si="11"/>
        <v>5.5995040743781477E-3</v>
      </c>
      <c r="N25" s="87">
        <f t="shared" si="12"/>
        <v>0.35470284521720263</v>
      </c>
      <c r="O25" s="88">
        <f t="shared" si="7"/>
        <v>1</v>
      </c>
      <c r="P25" s="84">
        <f t="shared" si="8"/>
        <v>2471.8768346060169</v>
      </c>
      <c r="Q25" s="85">
        <f t="shared" si="0"/>
        <v>1</v>
      </c>
      <c r="R25" s="86">
        <f t="shared" si="1"/>
        <v>28.580018421375218</v>
      </c>
      <c r="S25" s="94">
        <f t="shared" si="2"/>
        <v>98.198336801090761</v>
      </c>
      <c r="T25" s="80">
        <f t="shared" si="9"/>
        <v>23.716183433755418</v>
      </c>
      <c r="W25" s="73"/>
    </row>
    <row r="26" spans="1:23" x14ac:dyDescent="0.25">
      <c r="H26" s="59">
        <f t="shared" si="3"/>
        <v>2040</v>
      </c>
      <c r="I26" s="97">
        <f t="shared" si="10"/>
        <v>5061.416984415051</v>
      </c>
      <c r="J26" s="60">
        <f t="shared" si="4"/>
        <v>55928.657677786301</v>
      </c>
      <c r="K26" s="60">
        <f>IF(H26=Year_Open_to_Traffic?,Calculations!$E$4,K25+(K25*M26))</f>
        <v>53442.939558773549</v>
      </c>
      <c r="L26" s="60">
        <f>IF(AND(H26&gt;=Year_Open_to_Traffic?, Calculations!H26&lt;Year_Open_to_Traffic?+'Inputs &amp; Outputs'!B$21), 1, 0)</f>
        <v>1</v>
      </c>
      <c r="M26" s="81">
        <f t="shared" si="11"/>
        <v>5.5995040743781477E-3</v>
      </c>
      <c r="N26" s="87">
        <f t="shared" si="12"/>
        <v>0.35668900524418989</v>
      </c>
      <c r="O26" s="88">
        <f t="shared" si="7"/>
        <v>1</v>
      </c>
      <c r="P26" s="84">
        <f t="shared" si="8"/>
        <v>2485.7181190127521</v>
      </c>
      <c r="Q26" s="85">
        <f t="shared" si="0"/>
        <v>1</v>
      </c>
      <c r="R26" s="86">
        <f t="shared" si="1"/>
        <v>29.237358845066851</v>
      </c>
      <c r="S26" s="94">
        <f t="shared" si="2"/>
        <v>101.01940736023198</v>
      </c>
      <c r="T26" s="80">
        <f t="shared" si="9"/>
        <v>22.80141017982281</v>
      </c>
      <c r="W26" s="73"/>
    </row>
    <row r="27" spans="1:23" x14ac:dyDescent="0.25">
      <c r="H27" s="15">
        <f t="shared" si="3"/>
        <v>2041</v>
      </c>
      <c r="I27" s="97">
        <f t="shared" si="10"/>
        <v>5089.7584094414096</v>
      </c>
      <c r="J27" s="60">
        <f t="shared" si="4"/>
        <v>56241.830424327563</v>
      </c>
      <c r="K27" s="60">
        <f>IF(H27=Year_Open_to_Traffic?,Calculations!$E$4,K26+(K26*M27))</f>
        <v>53742.193516579646</v>
      </c>
      <c r="L27" s="60">
        <f>IF(AND(H27&gt;=Year_Open_to_Traffic?, Calculations!H27&lt;Year_Open_to_Traffic?+'Inputs &amp; Outputs'!B$21), 1, 0)</f>
        <v>0</v>
      </c>
      <c r="M27" s="81">
        <f t="shared" si="11"/>
        <v>5.5995040743781477E-3</v>
      </c>
      <c r="N27" s="87">
        <f t="shared" si="12"/>
        <v>0.3586862867823406</v>
      </c>
      <c r="O27" s="88">
        <f t="shared" si="7"/>
        <v>1</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5118.2585323926769</v>
      </c>
      <c r="J28" s="60">
        <f t="shared" si="4"/>
        <v>56556.756782939068</v>
      </c>
      <c r="K28" s="60">
        <f>IF(H28=Year_Open_to_Traffic?,Calculations!$E$4,K27+(K27*M28))</f>
        <v>54043.123148141749</v>
      </c>
      <c r="L28" s="60">
        <f>IF(AND(H28&gt;=Year_Open_to_Traffic?, Calculations!H28&lt;Year_Open_to_Traffic?+'Inputs &amp; Outputs'!B$21), 1, 0)</f>
        <v>0</v>
      </c>
      <c r="M28" s="81">
        <f t="shared" si="11"/>
        <v>5.5995040743781477E-3</v>
      </c>
      <c r="N28" s="87">
        <f t="shared" si="12"/>
        <v>0.3606947521066019</v>
      </c>
      <c r="O28" s="88">
        <f t="shared" si="7"/>
        <v>1</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5146.9182418985301</v>
      </c>
      <c r="J29" s="60">
        <f t="shared" si="4"/>
        <v>56873.446572978748</v>
      </c>
      <c r="K29" s="60">
        <f>IF(H29=Year_Open_to_Traffic?,Calculations!$E$4,K28+(K28*M29))</f>
        <v>54345.737836401888</v>
      </c>
      <c r="L29" s="60">
        <f>IF(AND(H29&gt;=Year_Open_to_Traffic?, Calculations!H29&lt;Year_Open_to_Traffic?+'Inputs &amp; Outputs'!B$21), 1, 0)</f>
        <v>0</v>
      </c>
      <c r="M29" s="81">
        <f t="shared" si="11"/>
        <v>5.5995040743781477E-3</v>
      </c>
      <c r="N29" s="87">
        <f t="shared" si="12"/>
        <v>0.36271446384062961</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5175.7384315645322</v>
      </c>
      <c r="J30" s="60">
        <f t="shared" si="4"/>
        <v>57191.909668788074</v>
      </c>
      <c r="K30" s="60">
        <f>IF(H30=Year_Open_to_Traffic?,Calculations!$E$4,K29+(K29*M30))</f>
        <v>54650.047016841905</v>
      </c>
      <c r="L30" s="60">
        <f>IF(AND(H30&gt;=Year_Open_to_Traffic?, Calculations!H30&lt;Year_Open_to_Traffic?+'Inputs &amp; Outputs'!B$21), 1, 0)</f>
        <v>0</v>
      </c>
      <c r="M30" s="81">
        <f t="shared" si="11"/>
        <v>5.5995040743781477E-3</v>
      </c>
      <c r="N30" s="87">
        <f t="shared" si="12"/>
        <v>0.3647454849587411</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5204.719999999993</v>
      </c>
      <c r="J31" s="60">
        <f t="shared" si="4"/>
        <v>57512.155999999923</v>
      </c>
      <c r="K31" s="60">
        <f>IF(H31=Year_Open_to_Traffic?,Calculations!$E$4,K30+(K30*M31))</f>
        <v>54956.060177777668</v>
      </c>
      <c r="L31" s="60">
        <f>IF(AND(H31&gt;=Year_Open_to_Traffic?, Calculations!H31&lt;Year_Open_to_Traffic?+'Inputs &amp; Outputs'!B$21), 1, 0)</f>
        <v>0</v>
      </c>
      <c r="M31" s="81">
        <f t="shared" si="11"/>
        <v>5.5995040743781477E-3</v>
      </c>
      <c r="N31" s="87">
        <f t="shared" si="12"/>
        <v>0.36678787878787861</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5233.8638508459908</v>
      </c>
      <c r="J32" s="60">
        <f t="shared" si="4"/>
        <v>57834.195551848192</v>
      </c>
      <c r="K32" s="60">
        <f>IF(H32=Year_Open_to_Traffic?,Calculations!$E$4,K31+(K31*M32))</f>
        <v>55263.786860654902</v>
      </c>
      <c r="L32" s="60">
        <f>IF(AND(H32&gt;=Year_Open_to_Traffic?, Calculations!H32&lt;Year_Open_to_Traffic?+'Inputs &amp; Outputs'!B$21), 1, 0)</f>
        <v>0</v>
      </c>
      <c r="M32" s="81">
        <f t="shared" si="11"/>
        <v>5.5995040743781477E-3</v>
      </c>
      <c r="N32" s="87">
        <f t="shared" si="12"/>
        <v>0.36884170900958385</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5263.1708928035432</v>
      </c>
      <c r="J33" s="60">
        <f t="shared" si="4"/>
        <v>58158.038365479151</v>
      </c>
      <c r="K33" s="60">
        <f>IF(H33=Year_Open_to_Traffic?,Calculations!$E$4,K32+(K32*M33))</f>
        <v>55573.236660346702</v>
      </c>
      <c r="L33" s="60">
        <f>IF(AND(H33&gt;=Year_Open_to_Traffic?, Calculations!H33&lt;Year_Open_to_Traffic?+'Inputs &amp; Outputs'!B$21), 1, 0)</f>
        <v>0</v>
      </c>
      <c r="M33" s="81">
        <f t="shared" si="11"/>
        <v>5.5995040743781477E-3</v>
      </c>
      <c r="N33" s="87">
        <f t="shared" si="12"/>
        <v>0.37090703966198363</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5292.6420396619451</v>
      </c>
      <c r="J34" s="60">
        <f t="shared" si="4"/>
        <v>58483.694538264492</v>
      </c>
      <c r="K34" s="60">
        <f>IF(H34=Year_Open_to_Traffic?,Calculations!$E$4,K33+(K33*M34))</f>
        <v>55884.419225452693</v>
      </c>
      <c r="L34" s="60">
        <f>IF(AND(H34&gt;=Year_Open_to_Traffic?, Calculations!H34&lt;Year_Open_to_Traffic?+'Inputs &amp; Outputs'!B$21), 1, 0)</f>
        <v>0</v>
      </c>
      <c r="M34" s="81">
        <f t="shared" si="11"/>
        <v>5.5995040743781477E-3</v>
      </c>
      <c r="N34" s="87">
        <f t="shared" si="12"/>
        <v>0.37298393514178646</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5322.2782103272575</v>
      </c>
      <c r="J35" s="60">
        <f t="shared" si="4"/>
        <v>58811.174224116192</v>
      </c>
      <c r="K35" s="60">
        <f>IF(H35=Year_Open_to_Traffic?,Calculations!$E$4,K34+(K34*M35))</f>
        <v>56197.344258599871</v>
      </c>
      <c r="L35" s="60">
        <f>IF(AND(H35&gt;=Year_Open_to_Traffic?, Calculations!H35&lt;Year_Open_to_Traffic?+'Inputs &amp; Outputs'!B$21), 1, 0)</f>
        <v>0</v>
      </c>
      <c r="M35" s="81">
        <f t="shared" si="11"/>
        <v>5.5995040743781477E-3</v>
      </c>
      <c r="N35" s="87">
        <f t="shared" si="12"/>
        <v>0.37507246020629048</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5352.0803288509587</v>
      </c>
      <c r="J36" s="60">
        <f t="shared" si="4"/>
        <v>59140.487633803095</v>
      </c>
      <c r="K36" s="60">
        <f>IF(H36=Year_Open_to_Traffic?,Calculations!$E$4,K35+(K35*M36))</f>
        <v>56512.021516745132</v>
      </c>
      <c r="L36" s="60">
        <f>IF(AND(H36&gt;=Year_Open_to_Traffic?, Calculations!H36&lt;Year_Open_to_Traffic?+'Inputs &amp; Outputs'!B$21), 1, 0)</f>
        <v>0</v>
      </c>
      <c r="M36" s="81">
        <f t="shared" si="11"/>
        <v>5.5995040743781477E-3</v>
      </c>
      <c r="N36" s="87">
        <f t="shared" si="12"/>
        <v>0.37717267997540266</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681.50081039528504</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Hidi Wood</cp:lastModifiedBy>
  <cp:lastPrinted>2018-10-09T12:06:07Z</cp:lastPrinted>
  <dcterms:created xsi:type="dcterms:W3CDTF">2012-07-25T15:48:32Z</dcterms:created>
  <dcterms:modified xsi:type="dcterms:W3CDTF">2018-10-09T12:11:00Z</dcterms:modified>
</cp:coreProperties>
</file>