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4. FM 565\New Benefit-Cost Per HGAC Model\"/>
    </mc:Choice>
  </mc:AlternateContent>
  <xr:revisionPtr revIDLastSave="0" documentId="13_ncr:1_{B090FCDA-69AD-4728-9749-AD7B1CDB6512}" xr6:coauthVersionLast="36" xr6:coauthVersionMax="36" xr10:uidLastSave="{00000000-0000-0000-0000-000000000000}"/>
  <bookViews>
    <workbookView xWindow="0" yWindow="0" windowWidth="28800" windowHeight="122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11" l="1"/>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s="1"/>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<sst xmlns="http://schemas.openxmlformats.org/spreadsheetml/2006/main" count="440" uniqueCount="284">
  <si>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</si>
  <si>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</si>
  <si>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</si>
  <si>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</si>
  <si>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</si>
  <si>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</si>
  <si>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</si>
  <si>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</si>
  <si>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</si>
  <si>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</si>
  <si>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</si>
  <si>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</si>
  <si>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</si>
  <si>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</si>
  <si>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</si>
  <si>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</si>
  <si>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</si>
  <si>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</si>
  <si>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</si>
  <si>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</si>
  <si>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</si>
  <si>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</si>
  <si>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</si>
  <si>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</si>
  <si>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</si>
  <si>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</si>
  <si>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</si>
  <si>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</si>
  <si>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</si>
  <si>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</si>
  <si>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</si>
  <si>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</si>
  <si>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</si>
  <si>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</si>
  <si>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</si>
  <si>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</si>
  <si>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</si>
  <si>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</si>
  <si>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</si>
  <si>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</si>
  <si>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</si>
  <si>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</si>
  <si>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</si>
  <si>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</si>
  <si>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</si>
  <si>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</si>
  <si>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</si>
  <si>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</si>
  <si>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</si>
  <si>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</si>
  <si>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</si>
  <si>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</si>
  <si>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</si>
  <si>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</si>
  <si>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</si>
  <si>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</si>
  <si>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</si>
  <si>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</si>
  <si>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</si>
  <si>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</si>
  <si>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</si>
  <si>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</si>
  <si>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</si>
  <si>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</si>
  <si>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</si>
  <si>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</si>
  <si>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</si>
  <si>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</si>
  <si>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</si>
  <si>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</si>
  <si>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</si>
  <si>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</si>
  <si>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</si>
  <si>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</si>
  <si>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</si>
  <si>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</si>
  <si>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</si>
  <si>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</si>
  <si>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</si>
  <si>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</si>
  <si>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</si>
  <si>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</si>
  <si>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</si>
  <si>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</si>
  <si>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</si>
  <si>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</si>
  <si>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</si>
  <si>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</si>
  <si>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</si>
  <si>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</si>
  <si>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</si>
  <si>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</si>
  <si>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</si>
  <si>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</si>
  <si>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</si>
  <si>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</si>
  <si>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</si>
  <si>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</si>
  <si>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</si>
  <si>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</si>
  <si>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</si>
  <si>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</si>
  <si>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</si>
  <si>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</si>
  <si>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</si>
  <si>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</si>
  <si>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</si>
  <si>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</si>
  <si>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</si>
  <si>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</si>
  <si>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</si>
  <si>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</si>
  <si>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</si>
  <si>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</si>
  <si>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</si>
  <si>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</si>
  <si>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</si>
  <si>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</si>
  <si>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</si>
  <si>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</si>
  <si>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</si>
  <si>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</si>
  <si>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</si>
  <si>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</si>
  <si>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</si>
  <si>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</si>
  <si>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</si>
  <si>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</si>
  <si>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</si>
  <si>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</si>
  <si>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</si>
  <si>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</si>
  <si>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</si>
  <si>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</si>
  <si>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</si>
  <si>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</si>
  <si>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</si>
  <si>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</si>
  <si>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</si>
  <si>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</si>
  <si>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</si>
  <si>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</si>
  <si>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</si>
  <si>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</si>
  <si>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</si>
  <si>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</si>
  <si>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</si>
  <si>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</si>
  <si>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</si>
  <si>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</si>
  <si>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</si>
  <si>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</si>
  <si>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</si>
  <si>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</si>
  <si>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</si>
  <si>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</si>
  <si>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</si>
  <si>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</si>
  <si>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</si>
  <si>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</si>
  <si>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</si>
  <si>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</si>
  <si>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</si>
  <si>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</si>
  <si>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</si>
  <si>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</si>
  <si>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</si>
  <si>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</si>
  <si>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</si>
  <si>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</si>
  <si>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</si>
  <si>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</si>
  <si>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</si>
  <si>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</si>
  <si>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</si>
  <si>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</si>
  <si>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</si>
  <si>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</si>
  <si>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</si>
  <si>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</si>
  <si>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</si>
  <si>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</si>
  <si>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</si>
  <si>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</si>
  <si>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</si>
  <si>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</si>
  <si>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</si>
  <si>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</si>
  <si>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</si>
  <si>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</si>
  <si>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</si>
  <si>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</si>
  <si>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</si>
  <si>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</si>
  <si>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</si>
  <si>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</si>
  <si>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</si>
  <si>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</si>
  <si>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</si>
  <si>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</si>
  <si>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</si>
  <si>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</si>
  <si>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</si>
  <si>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</si>
  <si>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</si>
  <si>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</si>
  <si>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</si>
  <si>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</si>
  <si>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</si>
  <si>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</si>
  <si>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</si>
  <si>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</si>
  <si>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</si>
  <si>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</si>
  <si>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</si>
  <si>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</si>
  <si>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</si>
  <si>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</si>
  <si>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</si>
  <si>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</si>
  <si>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</si>
  <si>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</si>
  <si>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</si>
  <si>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</si>
  <si>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</si>
  <si>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</si>
  <si>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</si>
  <si>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</si>
  <si>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</si>
  <si>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</si>
  <si>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</si>
  <si>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</si>
  <si>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</si>
  <si>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</si>
  <si>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</si>
  <si>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</si>
  <si>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</si>
  <si>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</si>
  <si>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</si>
  <si>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</si>
  <si>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</si>
  <si>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</si>
  <si>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</si>
  <si>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</si>
  <si>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</si>
  <si>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</si>
  <si>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</si>
  <si>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</si>
  <si>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</si>
  <si>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</si>
  <si>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</si>
  <si>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</si>
  <si>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</si>
  <si>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</si>
  <si>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</si>
  <si>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</si>
  <si>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</si>
  <si>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</si>
  <si>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</si>
  <si>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</si>
  <si>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</si>
  <si>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</si>
  <si>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</si>
  <si>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</si>
  <si>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</si>
  <si>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</si>
  <si>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</si>
  <si>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</si>
  <si>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</si>
  <si>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</si>
  <si>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</si>
  <si>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</si>
  <si>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</si>
  <si>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</si>
  <si>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</si>
  <si>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</si>
  <si>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</si>
  <si>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</si>
  <si>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</si>
  <si>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</si>
  <si>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</si>
  <si>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FM 565</t>
  </si>
  <si>
    <t>SH 99</t>
  </si>
  <si>
    <t>East City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</si>
</sst>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12" zoomScaleNormal="100" workbookViewId="0">
      <selection activeCell="F25" sqref="F25"/>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122</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1.7</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x14ac:dyDescent="0.25">
      <c r="B18" s="4" t="s">
        <v>259</v>
      </c>
      <c r="C18" s="120" t="s">
        <v>176</v>
      </c>
      <c r="D18" s="26"/>
    </row>
    <row r="19" spans="2:13" x14ac:dyDescent="0.25">
      <c r="B19" s="122" t="s">
        <v>251</v>
      </c>
      <c r="C19" s="174">
        <f>VLOOKUP(C18,'CRF Lookup Table'!C3:F84,2, FALSE)</f>
        <v>517</v>
      </c>
      <c r="D19" s="97"/>
    </row>
    <row r="20" spans="2:13" x14ac:dyDescent="0.25">
      <c r="B20" s="122" t="s">
        <v>102</v>
      </c>
      <c r="C20" s="175">
        <f>VLOOKUP(C18,'CRF Lookup Table'!C3:F84,3, FALSE)</f>
        <v>0.28000000000000003</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21547</v>
      </c>
      <c r="D25" s="99"/>
      <c r="I25" s="49"/>
    </row>
    <row r="26" spans="2:13" x14ac:dyDescent="0.25">
      <c r="I26" s="49"/>
    </row>
    <row r="27" spans="2:13" x14ac:dyDescent="0.25">
      <c r="B27" s="86" t="s">
        <v>269</v>
      </c>
      <c r="C27" s="87">
        <f>+_2018_Volume_ADT*0.43</f>
        <v>9265.2099999999991</v>
      </c>
      <c r="D27" s="99"/>
      <c r="I27" s="49"/>
    </row>
    <row r="28" spans="2:13" x14ac:dyDescent="0.25">
      <c r="B28" s="86" t="s">
        <v>150</v>
      </c>
      <c r="C28" s="87">
        <v>10360</v>
      </c>
      <c r="D28" s="99"/>
      <c r="I28" s="49"/>
    </row>
    <row r="29" spans="2:13" x14ac:dyDescent="0.25">
      <c r="B29" s="86" t="s">
        <v>270</v>
      </c>
      <c r="C29" s="88">
        <v>7280</v>
      </c>
      <c r="D29" s="69"/>
      <c r="I29" s="49"/>
    </row>
    <row r="30" spans="2:13" x14ac:dyDescent="0.25">
      <c r="B30" s="86" t="s">
        <v>151</v>
      </c>
      <c r="C30" s="88">
        <v>10360</v>
      </c>
      <c r="D30" s="69"/>
      <c r="I30" s="49"/>
    </row>
    <row r="31" spans="2:13" x14ac:dyDescent="0.25">
      <c r="B31" s="86" t="s">
        <v>271</v>
      </c>
      <c r="C31" s="87">
        <v>8523</v>
      </c>
      <c r="D31" s="99"/>
      <c r="H31" s="70"/>
    </row>
    <row r="32" spans="2:13" x14ac:dyDescent="0.25">
      <c r="B32" s="86" t="s">
        <v>152</v>
      </c>
      <c r="C32" s="87">
        <v>10360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12293.125039842998</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18773.471599193192</v>
      </c>
      <c r="G4" s="183" t="s">
        <v>260</v>
      </c>
      <c r="H4" s="183"/>
      <c r="I4" s="183"/>
      <c r="J4" s="183"/>
      <c r="L4" s="136"/>
      <c r="M4" s="137">
        <v>2018</v>
      </c>
      <c r="N4" s="138">
        <f>_2018_Volume_ADT</f>
        <v>21547</v>
      </c>
      <c r="O4" s="139" t="s">
        <v>85</v>
      </c>
      <c r="P4" s="140">
        <f>MIN(B12,1)</f>
        <v>0.89432528957528945</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31914.901718628425</v>
      </c>
      <c r="G5" s="184" t="s">
        <v>261</v>
      </c>
      <c r="H5" s="184"/>
      <c r="I5" s="184"/>
      <c r="J5" s="143">
        <f>SUMPRODUCT(Possible_Crash_Reductions,'Value of Statistical Life'!E5:E11)</f>
        <v>1490250.6908204802</v>
      </c>
      <c r="L5" s="136"/>
      <c r="M5" s="144">
        <f t="shared" ref="M5:M36" si="1">M4+1</f>
        <v>2019</v>
      </c>
      <c r="N5" s="145">
        <f>N4+(N4*O5)</f>
        <v>20817.38893280999</v>
      </c>
      <c r="O5" s="146">
        <f t="shared" ref="O5:O11" si="2">IF(ISERROR(_2025_2045_Demand_Growth),_2018_2045_Demand_Growth,_2018_2025_Demand_Growth)</f>
        <v>-3.3861375931220516E-2</v>
      </c>
      <c r="P5" s="147">
        <f t="shared" ref="P5:P11" si="3">P4*(1+IFERROR(_2018_2025_V_C_Growth,_2018_2045_V_C_Growth))</f>
        <v>0.8640422047401829</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8297874.4468433904</v>
      </c>
      <c r="L6" s="136"/>
      <c r="M6" s="137">
        <f t="shared" si="1"/>
        <v>2020</v>
      </c>
      <c r="N6" s="145">
        <f t="shared" ref="N6:N36" si="6">N5+(N5*O6)</f>
        <v>20112.48350024968</v>
      </c>
      <c r="O6" s="146">
        <f t="shared" si="2"/>
        <v>-3.3861375931220516E-2</v>
      </c>
      <c r="P6" s="147">
        <f t="shared" si="3"/>
        <v>0.834784546825035</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19431.447135537255</v>
      </c>
      <c r="O7" s="146">
        <f t="shared" si="2"/>
        <v>-3.3861375931220516E-2</v>
      </c>
      <c r="P7" s="147">
        <f t="shared" si="3"/>
        <v>0.80651759346341889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18773.471599193192</v>
      </c>
      <c r="O8" s="146">
        <f t="shared" si="2"/>
        <v>-3.3861375931220516E-2</v>
      </c>
      <c r="P8" s="147">
        <f t="shared" si="3"/>
        <v>0.77920779803601081</v>
      </c>
      <c r="Q8" s="148">
        <f t="shared" si="4"/>
        <v>1</v>
      </c>
      <c r="R8" s="37">
        <f>IF(M8=Year_Open_to_Traffic?,Calculations!$J$5,Calculations!R7+(Calculations!R7*Calculations!O8*Q8))</f>
        <v>1490250.6908204802</v>
      </c>
      <c r="S8" s="54">
        <f t="shared" si="0"/>
        <v>1</v>
      </c>
      <c r="T8" s="37">
        <f t="shared" si="5"/>
        <v>1490.2506908204803</v>
      </c>
      <c r="U8" s="142">
        <f>T8/(1+Real_Discount_Rate)^(Calculations!M8-'Assumed Values'!$C$5)</f>
        <v>1136.9051167774612</v>
      </c>
    </row>
    <row r="9" spans="1:21" ht="15.75" x14ac:dyDescent="0.25">
      <c r="A9" s="152" t="s">
        <v>76</v>
      </c>
      <c r="B9" s="153">
        <f>(_2025_Peak_Period_Volume/'Inputs &amp; Outputs'!$C$27)^(1/(2025-2018))-1</f>
        <v>-3.3861375931220516E-2</v>
      </c>
      <c r="D9" s="152" t="s">
        <v>137</v>
      </c>
      <c r="E9" s="154">
        <f>IF('Inputs &amp; Outputs'!$C$8='CRASH RATES'!$D$3, VLOOKUP('Inputs &amp; Outputs'!$C$7,'CRASH RATES'!$C$14:$J$21,3,FALSE), VLOOKUP('Inputs &amp; Outputs'!$C$7,'CRASH RATES'!$C$28:$J$35,3,FALSE))</f>
        <v>2.8832323701282432</v>
      </c>
      <c r="F9" s="155"/>
      <c r="L9" s="136"/>
      <c r="M9" s="144">
        <f t="shared" si="1"/>
        <v>2023</v>
      </c>
      <c r="N9" s="145">
        <f t="shared" si="6"/>
        <v>18137.776019838821</v>
      </c>
      <c r="O9" s="146">
        <f t="shared" si="2"/>
        <v>-3.3861375931220516E-2</v>
      </c>
      <c r="P9" s="147">
        <f t="shared" si="3"/>
        <v>0.75282274985817488</v>
      </c>
      <c r="Q9" s="148">
        <f t="shared" si="4"/>
        <v>1</v>
      </c>
      <c r="R9" s="37">
        <f>IF(M9=Year_Open_to_Traffic?,Calculations!$J$5,Calculations!R8+(Calculations!R8*Calculations!O9*Q9))</f>
        <v>1439788.751946847</v>
      </c>
      <c r="S9" s="54">
        <f t="shared" si="0"/>
        <v>1</v>
      </c>
      <c r="T9" s="37">
        <f t="shared" si="5"/>
        <v>1439.788751946847</v>
      </c>
      <c r="U9" s="142">
        <f>T9/(1+Real_Discount_Rate)^(Calculations!M9-'Assumed Values'!$C$5)</f>
        <v>1026.5494815141415</v>
      </c>
    </row>
    <row r="10" spans="1:21" ht="15.75" x14ac:dyDescent="0.25">
      <c r="A10" s="152" t="s">
        <v>106</v>
      </c>
      <c r="B10" s="153">
        <f>(_2045_Peak_Period_Volume/_2025_Peak_Period_Volume)^(1/(2045-2025))-1</f>
        <v>7.9130202248753889E-3</v>
      </c>
      <c r="D10" s="152" t="s">
        <v>138</v>
      </c>
      <c r="E10" s="154">
        <f>IF('Inputs &amp; Outputs'!$C$8='CRASH RATES'!$D$3, VLOOKUP('Inputs &amp; Outputs'!$C$7,'CRASH RATES'!$C$14:$J$21,4,FALSE), VLOOKUP('Inputs &amp; Outputs'!$C$7,'CRASH RATES'!$C$28:$J$35,4,FALSE))</f>
        <v>27.184762346923439</v>
      </c>
      <c r="F10" s="155"/>
      <c r="L10" s="136"/>
      <c r="M10" s="137">
        <f t="shared" si="1"/>
        <v>2024</v>
      </c>
      <c r="N10" s="145">
        <f t="shared" si="6"/>
        <v>17523.605967474781</v>
      </c>
      <c r="O10" s="146">
        <f t="shared" si="2"/>
        <v>-3.3861375931220516E-2</v>
      </c>
      <c r="P10" s="147">
        <f t="shared" si="3"/>
        <v>0.727331135715652</v>
      </c>
      <c r="Q10" s="148">
        <f t="shared" si="4"/>
        <v>1</v>
      </c>
      <c r="R10" s="37">
        <f>IF(M10=Year_Open_to_Traffic?,Calculations!$J$5,Calculations!R9+(Calculations!R9*Calculations!O10*Q10))</f>
        <v>1391035.5237556319</v>
      </c>
      <c r="S10" s="54">
        <f t="shared" si="0"/>
        <v>1</v>
      </c>
      <c r="T10" s="37">
        <f t="shared" si="5"/>
        <v>1391.0355237556319</v>
      </c>
      <c r="U10" s="142">
        <f>T10/(1+Real_Discount_Rate)^(Calculations!M10-'Assumed Values'!$C$5)</f>
        <v>926.90570430709499</v>
      </c>
    </row>
    <row r="11" spans="1:21" ht="15.75" x14ac:dyDescent="0.25">
      <c r="A11" s="152" t="s">
        <v>107</v>
      </c>
      <c r="B11" s="153">
        <f>(_2045_Peak_Period_Volume/'Inputs &amp; Outputs'!$C$27)^(1/(2045-2018))-1</f>
        <v>-3.0877465521024217E-3</v>
      </c>
      <c r="D11" s="152" t="s">
        <v>139</v>
      </c>
      <c r="E11" s="154">
        <f>IF('Inputs &amp; Outputs'!$C$8='CRASH RATES'!$D$3, VLOOKUP('Inputs &amp; Outputs'!$C$7,'CRASH RATES'!$C$14:$J$21,5,FALSE), VLOOKUP('Inputs &amp; Outputs'!$C$7,'CRASH RATES'!$C$28:$J$35,5,FALSE))</f>
        <v>68.373796205898344</v>
      </c>
      <c r="F11" s="155"/>
      <c r="L11" s="136"/>
      <c r="M11" s="144">
        <f t="shared" si="1"/>
        <v>2025</v>
      </c>
      <c r="N11" s="145">
        <f t="shared" si="6"/>
        <v>16930.232558139538</v>
      </c>
      <c r="O11" s="146">
        <f t="shared" si="2"/>
        <v>-3.3861375931220516E-2</v>
      </c>
      <c r="P11" s="147">
        <f t="shared" si="3"/>
        <v>0.70270270270270274</v>
      </c>
      <c r="Q11" s="148">
        <f t="shared" si="4"/>
        <v>1</v>
      </c>
      <c r="R11" s="37">
        <f>IF(M11=Year_Open_to_Traffic?,Calculations!$J$5,Calculations!R10+(Calculations!R10*Calculations!O11*Q11))</f>
        <v>1343933.1469520603</v>
      </c>
      <c r="S11" s="54">
        <f t="shared" si="0"/>
        <v>1</v>
      </c>
      <c r="T11" s="37">
        <f t="shared" si="5"/>
        <v>1343.9331469520603</v>
      </c>
      <c r="U11" s="142">
        <f>T11/(1+Real_Discount_Rate)^(Calculations!M11-'Assumed Values'!$C$5)</f>
        <v>836.93402037454177</v>
      </c>
    </row>
    <row r="12" spans="1:21" ht="15.75" x14ac:dyDescent="0.25">
      <c r="A12" s="152" t="s">
        <v>75</v>
      </c>
      <c r="B12" s="156">
        <f>'Inputs &amp; Outputs'!C27/_2018_Peak_Period_Capacity</f>
        <v>0.89432528957528945</v>
      </c>
      <c r="D12" s="152" t="s">
        <v>140</v>
      </c>
      <c r="E12" s="154">
        <f>IF('Inputs &amp; Outputs'!$C$8='CRASH RATES'!$D$3, VLOOKUP('Inputs &amp; Outputs'!$C$7,'CRASH RATES'!$C$14:$J$21,6,FALSE), VLOOKUP('Inputs &amp; Outputs'!$C$7,'CRASH RATES'!$C$28:$J$35,6,FALSE))</f>
        <v>63.019221804231606</v>
      </c>
      <c r="F12" s="155"/>
      <c r="L12" s="136"/>
      <c r="M12" s="137">
        <f t="shared" si="1"/>
        <v>2026</v>
      </c>
      <c r="N12" s="145">
        <f t="shared" si="6"/>
        <v>17064.201830783939</v>
      </c>
      <c r="O12" s="146">
        <f t="shared" ref="O12:O36" si="7">IFERROR(_2025_2045_Demand_Growth,_2018_2045_Demand_Growth)</f>
        <v>7.9130202248753889E-3</v>
      </c>
      <c r="P12" s="147">
        <f t="shared" ref="P12:P36" si="8">P11*(1+IFERROR(_2025_2040_V_C_Growth,_2018_2045_V_C_Growth))</f>
        <v>0.70826320340126381</v>
      </c>
      <c r="Q12" s="148">
        <f t="shared" si="4"/>
        <v>1</v>
      </c>
      <c r="R12" s="37">
        <f>IF(M12=Year_Open_to_Traffic?,Calculations!$J$5,Calculations!R11+(Calculations!R11*Calculations!O12*Q12))</f>
        <v>1354567.7171247723</v>
      </c>
      <c r="S12" s="54">
        <f t="shared" si="0"/>
        <v>1</v>
      </c>
      <c r="T12" s="37">
        <f t="shared" si="5"/>
        <v>1354.5677171247723</v>
      </c>
      <c r="U12" s="142">
        <f>T12/(1+Real_Discount_Rate)^(Calculations!M12-'Assumed Values'!$C$5)</f>
        <v>788.37074411649701</v>
      </c>
    </row>
    <row r="13" spans="1:21" ht="15.75" x14ac:dyDescent="0.25">
      <c r="A13" s="152" t="s">
        <v>74</v>
      </c>
      <c r="B13" s="156">
        <f>_2025_Peak_Period_Volume/_2025_Peak_Period_Capacity</f>
        <v>0.70270270270270274</v>
      </c>
      <c r="D13" s="152" t="s">
        <v>141</v>
      </c>
      <c r="E13" s="154">
        <f>IF('Inputs &amp; Outputs'!$C$8='CRASH RATES'!$D$3, VLOOKUP('Inputs &amp; Outputs'!$C$7,'CRASH RATES'!$C$14:$J$21,7,FALSE), VLOOKUP('Inputs &amp; Outputs'!$C$7,'CRASH RATES'!$C$28:$J$35,7,FALSE))</f>
        <v>906.57063523603767</v>
      </c>
      <c r="F13" s="155"/>
      <c r="L13" s="136"/>
      <c r="M13" s="144">
        <f t="shared" si="1"/>
        <v>2027</v>
      </c>
      <c r="N13" s="145">
        <f t="shared" si="6"/>
        <v>17199.231204992288</v>
      </c>
      <c r="O13" s="146">
        <f t="shared" si="7"/>
        <v>7.9130202248753889E-3</v>
      </c>
      <c r="P13" s="147">
        <f t="shared" si="8"/>
        <v>0.71386770445431302</v>
      </c>
      <c r="Q13" s="148">
        <f t="shared" si="4"/>
        <v>1</v>
      </c>
      <c r="R13" s="37">
        <f>IF(M13=Year_Open_to_Traffic?,Calculations!$J$5,Calculations!R12+(Calculations!R12*Calculations!O13*Q13))</f>
        <v>1365286.4388663438</v>
      </c>
      <c r="S13" s="54">
        <f t="shared" si="0"/>
        <v>1</v>
      </c>
      <c r="T13" s="37">
        <f t="shared" si="5"/>
        <v>1365.2864388663438</v>
      </c>
      <c r="U13" s="142">
        <f>T13/(1+Real_Discount_Rate)^(Calculations!M13-'Assumed Values'!$C$5)</f>
        <v>742.62536239195401</v>
      </c>
    </row>
    <row r="14" spans="1:21" ht="15.75" x14ac:dyDescent="0.25">
      <c r="A14" s="152" t="s">
        <v>148</v>
      </c>
      <c r="B14" s="156">
        <f>_2045_Peak_Period_Volume/_2045_Peak_Period_Capacity</f>
        <v>0.82268339768339771</v>
      </c>
      <c r="D14" s="152" t="s">
        <v>142</v>
      </c>
      <c r="E14" s="154">
        <f>IF('Inputs &amp; Outputs'!$C$8='CRASH RATES'!$D$3, VLOOKUP('Inputs &amp; Outputs'!$C$7,'CRASH RATES'!$C$14:$J$21,8,FALSE), VLOOKUP('Inputs &amp; Outputs'!$C$7,'CRASH RATES'!$C$28:$J$35,8,FALSE))</f>
        <v>35.422569118718414</v>
      </c>
      <c r="F14" s="155"/>
      <c r="L14" s="136"/>
      <c r="M14" s="137">
        <f>M13+1</f>
        <v>2028</v>
      </c>
      <c r="N14" s="145">
        <f t="shared" si="6"/>
        <v>17335.329069369698</v>
      </c>
      <c r="O14" s="146">
        <f t="shared" si="7"/>
        <v>7.9130202248753889E-3</v>
      </c>
      <c r="P14" s="147">
        <f>P13*(1+IFERROR(_2025_2040_V_C_Growth,_2018_2045_V_C_Growth))</f>
        <v>0.71951655403754533</v>
      </c>
      <c r="Q14" s="148">
        <f t="shared" si="4"/>
        <v>1</v>
      </c>
      <c r="R14" s="37">
        <f>IF(M14=Year_Open_to_Traffic?,Calculations!$J$5,Calculations!R13+(Calculations!R13*Calculations!O14*Q14))</f>
        <v>1376089.9780698414</v>
      </c>
      <c r="S14" s="54">
        <f t="shared" si="0"/>
        <v>1</v>
      </c>
      <c r="T14" s="37">
        <f t="shared" si="5"/>
        <v>1376.0899780698414</v>
      </c>
      <c r="U14" s="142">
        <f>T14/(1+Real_Discount_Rate)^(Calculations!M14-'Assumed Values'!$C$5)</f>
        <v>699.53436626548319</v>
      </c>
    </row>
    <row r="15" spans="1:21" ht="15.75" x14ac:dyDescent="0.25">
      <c r="A15" s="152" t="s">
        <v>80</v>
      </c>
      <c r="B15" s="153">
        <f>(B13/B12)^(1/(2025-2018))-1</f>
        <v>-3.3861375931220516E-2</v>
      </c>
      <c r="L15" s="136"/>
      <c r="M15" s="144">
        <f>M14+1</f>
        <v>2029</v>
      </c>
      <c r="N15" s="145">
        <f t="shared" si="6"/>
        <v>17472.50387890049</v>
      </c>
      <c r="O15" s="146">
        <f t="shared" si="7"/>
        <v>7.9130202248753889E-3</v>
      </c>
      <c r="P15" s="147">
        <f>P14*(1+IFERROR(_2025_2040_V_C_Growth,_2018_2045_V_C_Growth))</f>
        <v>0.72521010308177702</v>
      </c>
      <c r="Q15" s="148">
        <f t="shared" si="4"/>
        <v>1</v>
      </c>
      <c r="R15" s="37">
        <f>IF(M15=Year_Open_to_Traffic?,Calculations!$J$5,Calculations!R14+(Calculations!R14*Calculations!O15*Q15))</f>
        <v>1386979.0058975564</v>
      </c>
      <c r="S15" s="54">
        <f t="shared" si="0"/>
        <v>1</v>
      </c>
      <c r="T15" s="37">
        <f t="shared" si="5"/>
        <v>1386.9790058975564</v>
      </c>
      <c r="U15" s="142">
        <f>T15/(1+Real_Discount_Rate)^(Calculations!M15-'Assumed Values'!$C$5)</f>
        <v>658.94373444274515</v>
      </c>
    </row>
    <row r="16" spans="1:21" ht="15.75" x14ac:dyDescent="0.25">
      <c r="A16" s="152" t="s">
        <v>108</v>
      </c>
      <c r="B16" s="153">
        <f>(B14/B13)^(1/(2045-2025))-1</f>
        <v>7.9130202248753889E-3</v>
      </c>
      <c r="D16" s="157" t="s">
        <v>136</v>
      </c>
      <c r="E16" s="151"/>
      <c r="L16" s="136"/>
      <c r="M16" s="137">
        <f t="shared" si="1"/>
        <v>2030</v>
      </c>
      <c r="N16" s="145">
        <f t="shared" si="6"/>
        <v>17610.764155473444</v>
      </c>
      <c r="O16" s="146">
        <f t="shared" si="7"/>
        <v>7.9130202248753889E-3</v>
      </c>
      <c r="P16" s="147">
        <f t="shared" si="8"/>
        <v>0.73094870529474709</v>
      </c>
      <c r="Q16" s="148">
        <f t="shared" si="4"/>
        <v>1</v>
      </c>
      <c r="R16" s="37">
        <f>IF(M16=Year_Open_to_Traffic?,Calculations!$J$5,Calculations!R15+(Calculations!R15*Calculations!O16*Q16))</f>
        <v>1397954.1988227013</v>
      </c>
      <c r="S16" s="54">
        <f t="shared" si="0"/>
        <v>1</v>
      </c>
      <c r="T16" s="37">
        <f t="shared" si="5"/>
        <v>1397.9541988227013</v>
      </c>
      <c r="U16" s="142">
        <f>T16/(1+Real_Discount_Rate)^(Calculations!M16-'Assumed Values'!$C$5)</f>
        <v>620.70838274808</v>
      </c>
    </row>
    <row r="17" spans="1:21" ht="15.75" x14ac:dyDescent="0.25">
      <c r="A17" s="152" t="s">
        <v>109</v>
      </c>
      <c r="B17" s="153">
        <f>(B14/B12)^(1/(2045-2018))-1</f>
        <v>-3.0877465521024217E-3</v>
      </c>
      <c r="D17" s="152" t="s">
        <v>89</v>
      </c>
      <c r="E17" s="158">
        <f>($E$6*Death_Rate)/100000000</f>
        <v>0.23924700208398852</v>
      </c>
      <c r="L17" s="136"/>
      <c r="M17" s="144">
        <f t="shared" si="1"/>
        <v>2031</v>
      </c>
      <c r="N17" s="145">
        <f t="shared" si="6"/>
        <v>17750.118488411215</v>
      </c>
      <c r="O17" s="146">
        <f t="shared" si="7"/>
        <v>7.9130202248753889E-3</v>
      </c>
      <c r="P17" s="147">
        <f t="shared" si="8"/>
        <v>0.73673271718309086</v>
      </c>
      <c r="Q17" s="148">
        <f t="shared" si="4"/>
        <v>1</v>
      </c>
      <c r="R17" s="37">
        <f>IF(M17=Year_Open_to_Traffic?,Calculations!$J$5,Calculations!R16+(Calculations!R16*Calculations!O17*Q17))</f>
        <v>1409016.2386714348</v>
      </c>
      <c r="S17" s="54">
        <f t="shared" si="0"/>
        <v>1</v>
      </c>
      <c r="T17" s="37">
        <f t="shared" si="5"/>
        <v>1409.0162386714348</v>
      </c>
      <c r="U17" s="142">
        <f>T17/(1+Real_Discount_Rate)^(Calculations!M17-'Assumed Values'!$C$5)</f>
        <v>584.69164554627594</v>
      </c>
    </row>
    <row r="18" spans="1:21" ht="15.75" x14ac:dyDescent="0.25">
      <c r="D18" s="152" t="s">
        <v>94</v>
      </c>
      <c r="E18" s="158">
        <f>($E$6*Incap_Injry_Rate)/100000000</f>
        <v>2.2557574482204634</v>
      </c>
      <c r="L18" s="136"/>
      <c r="M18" s="137">
        <f t="shared" si="1"/>
        <v>2032</v>
      </c>
      <c r="N18" s="145">
        <f t="shared" si="6"/>
        <v>17890.575535003947</v>
      </c>
      <c r="O18" s="146">
        <f t="shared" si="7"/>
        <v>7.9130202248753889E-3</v>
      </c>
      <c r="P18" s="147">
        <f t="shared" si="8"/>
        <v>0.74256249807448804</v>
      </c>
      <c r="Q18" s="148">
        <f t="shared" si="4"/>
        <v>1</v>
      </c>
      <c r="R18" s="37">
        <f>IF(M18=Year_Open_to_Traffic?,Calculations!$J$5,Calculations!R17+(Calculations!R17*Calculations!O18*Q18))</f>
        <v>1420165.8126652197</v>
      </c>
      <c r="S18" s="54">
        <f t="shared" si="0"/>
        <v>1</v>
      </c>
      <c r="T18" s="37">
        <f t="shared" si="5"/>
        <v>1420.1658126652196</v>
      </c>
      <c r="U18" s="142">
        <f>T18/(1+Real_Discount_Rate)^(Calculations!M18-'Assumed Values'!$C$5)</f>
        <v>550.76478725495258</v>
      </c>
    </row>
    <row r="19" spans="1:21" ht="15.75" x14ac:dyDescent="0.25">
      <c r="D19" s="152" t="s">
        <v>93</v>
      </c>
      <c r="E19" s="158">
        <f>($E$6*Nonincap_Injry_Rate)/100000000</f>
        <v>5.6735717637060139</v>
      </c>
      <c r="L19" s="136"/>
      <c r="M19" s="144">
        <f t="shared" si="1"/>
        <v>2033</v>
      </c>
      <c r="N19" s="145">
        <f t="shared" si="6"/>
        <v>18032.144021047094</v>
      </c>
      <c r="O19" s="146">
        <f t="shared" si="7"/>
        <v>7.9130202248753889E-3</v>
      </c>
      <c r="P19" s="147">
        <f t="shared" si="8"/>
        <v>0.74843841013998547</v>
      </c>
      <c r="Q19" s="148">
        <f t="shared" si="4"/>
        <v>1</v>
      </c>
      <c r="R19" s="37">
        <f>IF(M19=Year_Open_to_Traffic?,Calculations!$J$5,Calculations!R18+(Calculations!R18*Calculations!O19*Q19))</f>
        <v>1431403.6134635161</v>
      </c>
      <c r="S19" s="54">
        <f t="shared" si="0"/>
        <v>1</v>
      </c>
      <c r="T19" s="37">
        <f t="shared" si="5"/>
        <v>1431.4036134635162</v>
      </c>
      <c r="U19" s="142">
        <f>T19/(1+Real_Discount_Rate)^(Calculations!M19-'Assumed Values'!$C$5)</f>
        <v>518.80654220154224</v>
      </c>
    </row>
    <row r="20" spans="1:21" ht="15.75" x14ac:dyDescent="0.25">
      <c r="D20" s="152" t="s">
        <v>92</v>
      </c>
      <c r="E20" s="158">
        <f>($E$6*Poss_Injry_Rate/100000000)</f>
        <v>5.2292559026928922</v>
      </c>
      <c r="L20" s="136"/>
      <c r="M20" s="137">
        <f t="shared" si="1"/>
        <v>2034</v>
      </c>
      <c r="N20" s="145">
        <f t="shared" si="6"/>
        <v>18174.832741383507</v>
      </c>
      <c r="O20" s="146">
        <f t="shared" si="7"/>
        <v>7.9130202248753889E-3</v>
      </c>
      <c r="P20" s="147">
        <f t="shared" si="8"/>
        <v>0.75436081841649671</v>
      </c>
      <c r="Q20" s="148">
        <f t="shared" si="4"/>
        <v>1</v>
      </c>
      <c r="R20" s="37">
        <f>IF(M20=Year_Open_to_Traffic?,Calculations!$J$5,Calculations!R19+(Calculations!R19*Calculations!O20*Q20))</f>
        <v>1442730.3392068127</v>
      </c>
      <c r="S20" s="54">
        <f t="shared" si="0"/>
        <v>1</v>
      </c>
      <c r="T20" s="37">
        <f t="shared" si="5"/>
        <v>1442.7303392068127</v>
      </c>
      <c r="U20" s="142">
        <f>T20/(1+Real_Discount_Rate)^(Calculations!M20-'Assumed Values'!$C$5)</f>
        <v>488.7026811801689</v>
      </c>
    </row>
    <row r="21" spans="1:21" ht="15.75" x14ac:dyDescent="0.25">
      <c r="D21" s="152" t="s">
        <v>91</v>
      </c>
      <c r="E21" s="158">
        <f>($E$6*Non_Injry_Rate)/100000000</f>
        <v>75.226093083836972</v>
      </c>
      <c r="L21" s="136"/>
      <c r="M21" s="144">
        <f>M20+1</f>
        <v>2035</v>
      </c>
      <c r="N21" s="145">
        <f t="shared" si="6"/>
        <v>18318.650560449802</v>
      </c>
      <c r="O21" s="146">
        <f t="shared" si="7"/>
        <v>7.9130202248753889E-3</v>
      </c>
      <c r="P21" s="147">
        <f>P20*(1+IFERROR(_2025_2040_V_C_Growth,_2018_2045_V_C_Growth))</f>
        <v>0.76033009082948</v>
      </c>
      <c r="Q21" s="148">
        <f t="shared" si="4"/>
        <v>1</v>
      </c>
      <c r="R21" s="37">
        <f>IF(M21=Year_Open_to_Traffic?,Calculations!$J$5,Calculations!R20+(Calculations!R20*Calculations!O21*Q21))</f>
        <v>1454146.6935599975</v>
      </c>
      <c r="S21" s="54">
        <f t="shared" si="0"/>
        <v>1</v>
      </c>
      <c r="T21" s="37">
        <f t="shared" si="5"/>
        <v>1454.1466935599974</v>
      </c>
      <c r="U21" s="142">
        <f>T21/(1+Real_Discount_Rate)^(Calculations!M21-'Assumed Values'!$C$5)</f>
        <v>460.34560315915735</v>
      </c>
    </row>
    <row r="22" spans="1:21" ht="15.75" x14ac:dyDescent="0.25">
      <c r="D22" s="152" t="s">
        <v>90</v>
      </c>
      <c r="E22" s="158">
        <f>($E$6*Unkn_Injry_Rate)/100000000</f>
        <v>2.939320311317573</v>
      </c>
      <c r="L22" s="136"/>
      <c r="M22" s="137">
        <f>M21+1</f>
        <v>2036</v>
      </c>
      <c r="N22" s="145">
        <f t="shared" si="6"/>
        <v>18463.606412827066</v>
      </c>
      <c r="O22" s="146">
        <f t="shared" si="7"/>
        <v>7.9130202248753889E-3</v>
      </c>
      <c r="P22" s="147">
        <f t="shared" si="8"/>
        <v>0.76634659821579498</v>
      </c>
      <c r="Q22" s="148">
        <f t="shared" si="4"/>
        <v>1</v>
      </c>
      <c r="R22" s="37">
        <f>IF(M22=Year_Open_to_Traffic?,Calculations!$J$5,Calculations!R21+(Calculations!R21*Calculations!O22*Q22))</f>
        <v>1465653.3857560735</v>
      </c>
      <c r="S22" s="54">
        <f t="shared" si="0"/>
        <v>1</v>
      </c>
      <c r="T22" s="37">
        <f t="shared" si="5"/>
        <v>1465.6533857560735</v>
      </c>
      <c r="U22" s="142">
        <f>T22/(1+Real_Discount_Rate)^(Calculations!M22-'Assumed Values'!$C$5)</f>
        <v>433.63395067980213</v>
      </c>
    </row>
    <row r="23" spans="1:21" ht="15.75" x14ac:dyDescent="0.25">
      <c r="L23" s="136"/>
      <c r="M23" s="144">
        <f t="shared" si="1"/>
        <v>2037</v>
      </c>
      <c r="N23" s="145">
        <f t="shared" si="6"/>
        <v>18609.709303795906</v>
      </c>
      <c r="O23" s="146">
        <f t="shared" si="7"/>
        <v>7.9130202248753889E-3</v>
      </c>
      <c r="P23" s="147">
        <f t="shared" si="8"/>
        <v>0.77241071434674102</v>
      </c>
      <c r="Q23" s="148">
        <f t="shared" si="4"/>
        <v>1</v>
      </c>
      <c r="R23" s="37">
        <f>IF(M23=Year_Open_to_Traffic?,Calculations!$J$5,Calculations!R22+(Calculations!R22*Calculations!O23*Q23))</f>
        <v>1477251.1306402185</v>
      </c>
      <c r="S23" s="54">
        <f t="shared" si="0"/>
        <v>1</v>
      </c>
      <c r="T23" s="37">
        <f t="shared" si="5"/>
        <v>1477.2511306402184</v>
      </c>
      <c r="U23" s="142">
        <f>T23/(1+Real_Discount_Rate)^(Calculations!M23-'Assumed Values'!$C$5)</f>
        <v>408.47224757170466</v>
      </c>
    </row>
    <row r="24" spans="1:21" ht="15.75" x14ac:dyDescent="0.25">
      <c r="L24" s="136"/>
      <c r="M24" s="137">
        <f t="shared" si="1"/>
        <v>2038</v>
      </c>
      <c r="N24" s="145">
        <f t="shared" si="6"/>
        <v>18756.968309895896</v>
      </c>
      <c r="O24" s="146">
        <f t="shared" si="7"/>
        <v>7.9130202248753889E-3</v>
      </c>
      <c r="P24" s="147">
        <f t="shared" si="8"/>
        <v>0.77852281595127726</v>
      </c>
      <c r="Q24" s="148">
        <f t="shared" si="4"/>
        <v>1</v>
      </c>
      <c r="R24" s="37">
        <f>IF(M24=Year_Open_to_Traffic?,Calculations!$J$5,Calculations!R23+(Calculations!R23*Calculations!O24*Q24))</f>
        <v>1488940.6487141945</v>
      </c>
      <c r="S24" s="54">
        <f t="shared" si="0"/>
        <v>1</v>
      </c>
      <c r="T24" s="37">
        <f t="shared" si="5"/>
        <v>1488.9406487141946</v>
      </c>
      <c r="U24" s="142">
        <f>T24/(1+Real_Discount_Rate)^(Calculations!M24-'Assumed Values'!$C$5)</f>
        <v>384.77055768975691</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18905.392579489449</v>
      </c>
      <c r="O25" s="146">
        <f t="shared" si="7"/>
        <v>7.9130202248753889E-3</v>
      </c>
      <c r="P25" s="147">
        <f t="shared" si="8"/>
        <v>0.78468328273942667</v>
      </c>
      <c r="Q25" s="148">
        <f t="shared" si="4"/>
        <v>1</v>
      </c>
      <c r="R25" s="37">
        <f>IF(M25=Year_Open_to_Traffic?,Calculations!$J$5,Calculations!R24+(Calculations!R24*Calculations!O25*Q25))</f>
        <v>1500722.6661811091</v>
      </c>
      <c r="S25" s="54">
        <f t="shared" si="0"/>
        <v>1</v>
      </c>
      <c r="T25" s="37">
        <f t="shared" si="5"/>
        <v>1500.7226661811092</v>
      </c>
      <c r="U25" s="142">
        <f>T25/(1+Real_Discount_Rate)^(Calculations!M25-'Assumed Values'!$C$5)</f>
        <v>362.44416345298373</v>
      </c>
    </row>
    <row r="26" spans="1:21" ht="15.75" x14ac:dyDescent="0.25">
      <c r="A26" s="181"/>
      <c r="B26" s="181"/>
      <c r="D26" s="160">
        <f>Calculations!E17</f>
        <v>0.23924700208398852</v>
      </c>
      <c r="E26" s="160">
        <f>Calculations!E18</f>
        <v>2.2557574482204634</v>
      </c>
      <c r="F26" s="160">
        <f>Calculations!E19</f>
        <v>5.6735717637060139</v>
      </c>
      <c r="G26" s="160">
        <f>Calculations!E20</f>
        <v>5.2292559026928922</v>
      </c>
      <c r="H26" s="160">
        <f>Calculations!E21</f>
        <v>75.226093083836972</v>
      </c>
      <c r="I26" s="160">
        <f>Calculations!E22</f>
        <v>2.939320311317573</v>
      </c>
      <c r="J26" s="182"/>
      <c r="L26" s="136"/>
      <c r="M26" s="137">
        <f t="shared" si="1"/>
        <v>2040</v>
      </c>
      <c r="N26" s="145">
        <f t="shared" si="6"/>
        <v>19054.991333330159</v>
      </c>
      <c r="O26" s="146">
        <f t="shared" si="7"/>
        <v>7.9130202248753889E-3</v>
      </c>
      <c r="P26" s="147">
        <f t="shared" si="8"/>
        <v>0.79089249742586532</v>
      </c>
      <c r="Q26" s="148">
        <f t="shared" si="4"/>
        <v>1</v>
      </c>
      <c r="R26" s="37">
        <f>IF(M26=Year_Open_to_Traffic?,Calculations!$J$5,Calculations!R25+(Calculations!R25*Calculations!O26*Q26))</f>
        <v>1512597.9149905292</v>
      </c>
      <c r="S26" s="54">
        <f t="shared" si="0"/>
        <v>1</v>
      </c>
      <c r="T26" s="37">
        <f t="shared" si="5"/>
        <v>1512.5979149905293</v>
      </c>
      <c r="U26" s="142">
        <f>T26/(1+Real_Discount_Rate)^(Calculations!M26-'Assumed Values'!$C$5)</f>
        <v>341.4132630362385</v>
      </c>
    </row>
    <row r="27" spans="1:21" ht="15.75" x14ac:dyDescent="0.25">
      <c r="A27" s="161" t="s">
        <v>95</v>
      </c>
      <c r="B27" s="162" t="s">
        <v>96</v>
      </c>
      <c r="D27" s="163">
        <f>D$26*'Value of Statistical Life'!D17*Appropriate_Crash_Reduction_Factor</f>
        <v>0</v>
      </c>
      <c r="E27" s="163">
        <f>E$26*'Value of Statistical Life'!E17*Appropriate_Crash_Reduction_Factor</f>
        <v>2.1708507378694453E-2</v>
      </c>
      <c r="F27" s="163">
        <f>F$26*'Value of Statistical Life'!F17*Appropriate_Crash_Reduction_Factor</f>
        <v>0.13260044983263147</v>
      </c>
      <c r="G27" s="163">
        <f>G$26*'Value of Statistical Life'!G17*Appropriate_Crash_Reduction_Factor</f>
        <v>0.3431625976559573</v>
      </c>
      <c r="H27" s="163">
        <f>H$26*'Value of Statistical Life'!H17*Appropriate_Crash_Reduction_Factor</f>
        <v>19.49071963277536</v>
      </c>
      <c r="I27" s="163">
        <f>I$26*'Value of Statistical Life'!I17*Appropriate_Crash_Reduction_Factor</f>
        <v>0.35945771096789769</v>
      </c>
      <c r="J27" s="163">
        <f t="shared" ref="J27:J33" si="9">SUM(D27:I27)</f>
        <v>20.34764889861054</v>
      </c>
      <c r="K27" s="164"/>
      <c r="L27" s="136"/>
      <c r="M27" s="144">
        <f t="shared" si="1"/>
        <v>2041</v>
      </c>
      <c r="N27" s="145">
        <f t="shared" si="6"/>
        <v>19205.773865135627</v>
      </c>
      <c r="O27" s="146">
        <f t="shared" si="7"/>
        <v>7.9130202248753889E-3</v>
      </c>
      <c r="P27" s="147">
        <f t="shared" si="8"/>
        <v>0.79715084575369843</v>
      </c>
      <c r="Q27" s="148">
        <f t="shared" si="4"/>
        <v>1</v>
      </c>
      <c r="R27" s="37">
        <f>IF(M27=Year_Open_to_Traffic?,Calculations!$J$5,Calculations!R26+(Calculations!R26*Calculations!O27*Q27))</f>
        <v>1524567.1328839536</v>
      </c>
      <c r="S27" s="54">
        <f t="shared" si="0"/>
        <v>1</v>
      </c>
      <c r="T27" s="37">
        <f t="shared" si="5"/>
        <v>1524.5671328839537</v>
      </c>
      <c r="U27" s="142">
        <f>T27/(1+Real_Discount_Rate)^(Calculations!M27-'Assumed Values'!$C$5)</f>
        <v>321.6026851324159</v>
      </c>
    </row>
    <row r="28" spans="1:21" ht="15.75" x14ac:dyDescent="0.25">
      <c r="A28" s="161" t="s">
        <v>61</v>
      </c>
      <c r="B28" s="165" t="s">
        <v>62</v>
      </c>
      <c r="D28" s="163">
        <f>D$26*'Value of Statistical Life'!D18*Appropriate_Crash_Reduction_Factor</f>
        <v>0</v>
      </c>
      <c r="E28" s="163">
        <f>E$26*'Value of Statistical Life'!E18*Appropriate_Crash_Reduction_Factor</f>
        <v>0.35022258528985423</v>
      </c>
      <c r="F28" s="163">
        <f>F$26*'Value of Statistical Life'!F18*Appropriate_Crash_Reduction_Factor</f>
        <v>1.2207279701076914</v>
      </c>
      <c r="G28" s="163">
        <f>G$26*'Value of Statistical Life'!G18*Appropriate_Crash_Reduction_Factor</f>
        <v>1.0095015769077798</v>
      </c>
      <c r="H28" s="163">
        <f>H$26*'Value of Statistical Life'!H18*Appropriate_Crash_Reduction_Factor</f>
        <v>1.5285641210263339</v>
      </c>
      <c r="I28" s="163">
        <f>I$26*'Value of Statistical Life'!I18*Appropriate_Crash_Reduction_Factor</f>
        <v>0.34351601332743575</v>
      </c>
      <c r="J28" s="163">
        <f t="shared" si="9"/>
        <v>4.4525322666590945</v>
      </c>
      <c r="K28" s="164"/>
      <c r="L28" s="136"/>
      <c r="M28" s="137">
        <f t="shared" si="1"/>
        <v>2042</v>
      </c>
      <c r="N28" s="145">
        <f t="shared" si="6"/>
        <v>19357.749542164827</v>
      </c>
      <c r="O28" s="146">
        <f t="shared" si="7"/>
        <v>7.9130202248753889E-3</v>
      </c>
      <c r="P28" s="147">
        <f t="shared" si="8"/>
        <v>0.80345871651842393</v>
      </c>
      <c r="Q28" s="148">
        <f t="shared" si="4"/>
        <v>1</v>
      </c>
      <c r="R28" s="37">
        <f>IF(M28=Year_Open_to_Traffic?,Calculations!$J$5,Calculations!R27+(Calculations!R27*Calculations!O28*Q28))</f>
        <v>1536631.0634406446</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0.13205745483670167</v>
      </c>
      <c r="F29" s="163">
        <f>F$26*'Value of Statistical Life'!F19*Appropriate_Crash_Reduction_Factor</f>
        <v>0.17312563822643082</v>
      </c>
      <c r="G29" s="163">
        <f>G$26*'Value of Statistical Life'!G19*Appropriate_Crash_Reduction_Factor</f>
        <v>9.3576488527508772E-2</v>
      </c>
      <c r="H29" s="163">
        <f>H$26*'Value of Statistical Life'!H19*Appropriate_Crash_Reduction_Factor</f>
        <v>4.1705346005679225E-2</v>
      </c>
      <c r="I29" s="163">
        <f>I$26*'Value of Statistical Life'!I19*Appropriate_Crash_Reduction_Factor</f>
        <v>7.3017419445626619E-2</v>
      </c>
      <c r="J29" s="163">
        <f t="shared" si="9"/>
        <v>0.51348234704194717</v>
      </c>
      <c r="K29" s="164"/>
      <c r="L29" s="136"/>
      <c r="M29" s="144">
        <f t="shared" si="1"/>
        <v>2043</v>
      </c>
      <c r="N29" s="145">
        <f t="shared" si="6"/>
        <v>19510.927805800049</v>
      </c>
      <c r="O29" s="146">
        <f t="shared" si="7"/>
        <v>7.9130202248753889E-3</v>
      </c>
      <c r="P29" s="147">
        <f t="shared" si="8"/>
        <v>0.80981650159208662</v>
      </c>
      <c r="Q29" s="148">
        <f t="shared" si="4"/>
        <v>1</v>
      </c>
      <c r="R29" s="37">
        <f>IF(M29=Year_Open_to_Traffic?,Calculations!$J$5,Calculations!R28+(Calculations!R28*Calculations!O29*Q29))</f>
        <v>1548790.4561238221</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9.1185836783884727E-2</v>
      </c>
      <c r="F30" s="163">
        <f>F$26*'Value of Statistical Life'!F20*Appropriate_Crash_Reduction_Factor</f>
        <v>5.0692228994360496E-2</v>
      </c>
      <c r="G30" s="163">
        <f>G$26*'Value of Statistical Life'!G20*Appropriate_Crash_Reduction_Factor</f>
        <v>1.5681492600995446E-2</v>
      </c>
      <c r="H30" s="163">
        <f>H$26*'Value of Statistical Life'!H20*Appropriate_Crash_Reduction_Factor</f>
        <v>1.6850644850779483E-3</v>
      </c>
      <c r="I30" s="163">
        <f>I$26*'Value of Statistical Life'!I20*Appropriate_Crash_Reduction_Factor</f>
        <v>3.9644376630926896E-2</v>
      </c>
      <c r="J30" s="163">
        <f t="shared" si="9"/>
        <v>0.19888899949524549</v>
      </c>
      <c r="K30" s="164"/>
      <c r="L30" s="136"/>
      <c r="M30" s="144">
        <f t="shared" si="1"/>
        <v>2044</v>
      </c>
      <c r="N30" s="145">
        <f t="shared" si="6"/>
        <v>19665.318172133429</v>
      </c>
      <c r="O30" s="146">
        <f t="shared" si="7"/>
        <v>7.9130202248753889E-3</v>
      </c>
      <c r="P30" s="147">
        <f t="shared" si="8"/>
        <v>0.81622459594762264</v>
      </c>
      <c r="Q30" s="148">
        <f t="shared" si="4"/>
        <v>1</v>
      </c>
      <c r="R30" s="37">
        <f>IF(M30=Year_Open_to_Traffic?,Calculations!$J$5,Calculations!R29+(Calculations!R29*Calculations!O30*Q30))</f>
        <v>1561046.066327224</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2.5176057728098951E-2</v>
      </c>
      <c r="F31" s="163">
        <f>F$26*'Value of Statistical Life'!F21*Appropriate_Crash_Reduction_Factor</f>
        <v>9.8493205817936393E-3</v>
      </c>
      <c r="G31" s="163">
        <f>G$26*'Value of Statistical Life'!G21*Appropriate_Crash_Reduction_Factor</f>
        <v>2.079152146910694E-3</v>
      </c>
      <c r="H31" s="163">
        <f>H$26*'Value of Statistical Life'!H21*Appropriate_Crash_Reduction_Factor</f>
        <v>0</v>
      </c>
      <c r="I31" s="163">
        <f>I$26*'Value of Statistical Life'!I21*Appropriate_Crash_Reduction_Factor</f>
        <v>5.0779697698322395E-3</v>
      </c>
      <c r="J31" s="163">
        <f t="shared" si="9"/>
        <v>4.2182500226635528E-2</v>
      </c>
      <c r="K31" s="164"/>
      <c r="L31" s="136"/>
      <c r="M31" s="144">
        <f t="shared" si="1"/>
        <v>2045</v>
      </c>
      <c r="N31" s="145">
        <f t="shared" si="6"/>
        <v>19820.93023255813</v>
      </c>
      <c r="O31" s="146">
        <f t="shared" si="7"/>
        <v>7.9130202248753889E-3</v>
      </c>
      <c r="P31" s="147">
        <f t="shared" si="8"/>
        <v>0.82268339768339693</v>
      </c>
      <c r="Q31" s="148">
        <f t="shared" si="4"/>
        <v>1</v>
      </c>
      <c r="R31" s="37">
        <f>IF(M31=Year_Open_to_Traffic?,Calculations!$J$5,Calculations!R30+(Calculations!R30*Calculations!O31*Q31))</f>
        <v>1573398.6554220335</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1.1261643484495841E-2</v>
      </c>
      <c r="F32" s="163">
        <f>F$26*'Value of Statistical Life'!F22*Appropriate_Crash_Reduction_Factor</f>
        <v>1.6044860947760609E-3</v>
      </c>
      <c r="G32" s="163">
        <f>G$26*'Value of Statistical Life'!G22*Appropriate_Crash_Reduction_Factor</f>
        <v>1.9034491485802129E-4</v>
      </c>
      <c r="H32" s="163">
        <f>H$26*'Value of Statistical Life'!H22*Appropriate_Crash_Reduction_Factor</f>
        <v>6.3189918190423061E-4</v>
      </c>
      <c r="I32" s="163">
        <f>I$26*'Value of Statistical Life'!I22*Appropriate_Crash_Reduction_Factor</f>
        <v>2.2961970272012879E-3</v>
      </c>
      <c r="J32" s="163">
        <f t="shared" si="9"/>
        <v>1.5984570703235442E-2</v>
      </c>
      <c r="K32" s="164"/>
      <c r="L32" s="136"/>
      <c r="M32" s="144">
        <f t="shared" si="1"/>
        <v>2046</v>
      </c>
      <c r="N32" s="145">
        <f t="shared" si="6"/>
        <v>19977.773654364206</v>
      </c>
      <c r="O32" s="146">
        <f t="shared" si="7"/>
        <v>7.9130202248753889E-3</v>
      </c>
      <c r="P32" s="147">
        <f t="shared" si="8"/>
        <v>0.8291933080479349</v>
      </c>
      <c r="Q32" s="148">
        <f t="shared" si="4"/>
        <v>1</v>
      </c>
      <c r="R32" s="37">
        <f>IF(M32=Year_Open_to_Traffic?,Calculations!$J$5,Calculations!R31+(Calculations!R31*Calculations!O32*Q32))</f>
        <v>1585848.9908041798</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6.6989160583516796E-2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6.6989160583516796E-2</v>
      </c>
      <c r="K33" s="164"/>
      <c r="L33" s="136"/>
      <c r="M33" s="144">
        <f t="shared" si="1"/>
        <v>2047</v>
      </c>
      <c r="N33" s="145">
        <f t="shared" si="6"/>
        <v>20135.858181339172</v>
      </c>
      <c r="O33" s="146">
        <f t="shared" si="7"/>
        <v>7.9130202248753889E-3</v>
      </c>
      <c r="P33" s="147">
        <f t="shared" si="8"/>
        <v>0.83575473146484958</v>
      </c>
      <c r="Q33" s="148">
        <f t="shared" si="4"/>
        <v>1</v>
      </c>
      <c r="R33" s="37">
        <f>IF(M33=Year_Open_to_Traffic?,Calculations!$J$5,Calculations!R32+(Calculations!R32*Calculations!O33*Q33))</f>
        <v>1598397.8459420116</v>
      </c>
      <c r="S33" s="54">
        <f t="shared" si="0"/>
        <v>0</v>
      </c>
      <c r="T33" s="37">
        <f t="shared" si="5"/>
        <v>0</v>
      </c>
      <c r="U33" s="142">
        <f>T33/(1+Real_Discount_Rate)^(Calculations!M33-'Assumed Values'!$C$5)</f>
        <v>0</v>
      </c>
    </row>
    <row r="34" spans="1:21" ht="15.75" x14ac:dyDescent="0.25">
      <c r="J34" s="166"/>
      <c r="L34" s="136"/>
      <c r="M34" s="144">
        <f t="shared" si="1"/>
        <v>2048</v>
      </c>
      <c r="N34" s="145">
        <f t="shared" si="6"/>
        <v>20295.193634373332</v>
      </c>
      <c r="O34" s="146">
        <f t="shared" si="7"/>
        <v>7.9130202248753889E-3</v>
      </c>
      <c r="P34" s="147">
        <f t="shared" si="8"/>
        <v>0.84236807555796622</v>
      </c>
      <c r="Q34" s="148">
        <f t="shared" si="4"/>
        <v>1</v>
      </c>
      <c r="R34" s="37">
        <f>IF(M34=Year_Open_to_Traffic?,Calculations!$J$5,Calculations!R33+(Calculations!R33*Calculations!O34*Q34))</f>
        <v>1611046.0004243481</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20455.789912069889</v>
      </c>
      <c r="O35" s="146">
        <f t="shared" si="7"/>
        <v>7.9130202248753889E-3</v>
      </c>
      <c r="P35" s="147">
        <f t="shared" si="8"/>
        <v>0.84903375117664581</v>
      </c>
      <c r="Q35" s="148">
        <f t="shared" si="4"/>
        <v>1</v>
      </c>
      <c r="R35" s="37">
        <f>IF(M35=Year_Open_to_Traffic?,Calculations!$J$5,Calculations!R34+(Calculations!R34*Calculations!O35*Q35))</f>
        <v>1623794.2400089104</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20617.656991359901</v>
      </c>
      <c r="O36" s="146">
        <f t="shared" si="7"/>
        <v>7.9130202248753889E-3</v>
      </c>
      <c r="P36" s="147">
        <f t="shared" si="8"/>
        <v>0.85575217242130841</v>
      </c>
      <c r="Q36" s="148">
        <f t="shared" si="4"/>
        <v>1</v>
      </c>
      <c r="R36" s="37">
        <f>IF(M36=Year_Open_to_Traffic?,Calculations!$J$5,Calculations!R35+(Calculations!R35*Calculations!O36*Q36))</f>
        <v>1636643.356671137</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12293.125039842998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Hidi Wood</cp:lastModifiedBy>
  <cp:lastPrinted>2018-08-02T18:58:13Z</cp:lastPrinted>
  <dcterms:created xsi:type="dcterms:W3CDTF">2012-07-25T15:48:32Z</dcterms:created>
  <dcterms:modified xsi:type="dcterms:W3CDTF">2018-10-19T15:51:42Z</dcterms:modified>
</cp:coreProperties>
</file>