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6_IH10/"/>
    </mc:Choice>
  </mc:AlternateContent>
  <xr:revisionPtr revIDLastSave="21" documentId="8_{30774F11-C8DD-4C13-9604-D1248B4BEA9B}" xr6:coauthVersionLast="40" xr6:coauthVersionMax="40" xr10:uidLastSave="{5FF11556-62E6-4CE3-A071-0376CADC597C}"/>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<sst xmlns="http://schemas.openxmlformats.org/spreadsheetml/2006/main" count="292" uniqueCount="238">
  <si>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</si>
  <si>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</si>
  <si>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</si>
  <si>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</si>
  <si>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</si>
  <si>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</si>
  <si>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</si>
  <si>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</si>
  <si>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</si>
  <si>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</si>
  <si>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</si>
  <si>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</si>
  <si>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</si>
  <si>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</si>
  <si>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</si>
  <si>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</si>
  <si>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</si>
  <si>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</si>
  <si>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</si>
  <si>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</si>
  <si>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</si>
  <si>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</si>
  <si>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</si>
  <si>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</si>
  <si>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</si>
  <si>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</si>
  <si>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</si>
  <si>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</si>
  <si>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</si>
  <si>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</si>
  <si>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</si>
  <si>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</si>
  <si>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</si>
  <si>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</si>
  <si>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</si>
  <si>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</si>
  <si>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</si>
  <si>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</si>
  <si>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</si>
  <si>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</si>
  <si>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</si>
  <si>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</si>
  <si>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</si>
  <si>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</si>
  <si>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</si>
  <si>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</si>
  <si>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</si>
  <si>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</si>
  <si>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</si>
  <si>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10/FM 1409 Overpass</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</si>
  <si>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</si>
  <si>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</si>
  <si>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</si>
  <si>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</si>
  <si>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</si>
  <si>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</si>
  <si>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</si>
  <si>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</si>
  <si>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</si>
  <si>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</si>
  <si>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</si>
  <si>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FM 1409</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</si>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</sst>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0.99</v>
      </c>
    </row>
    <row r="13" spans="1:7">
      <c r="A13" s="7" t="s">
        <v>65</v>
      </c>
      <c r="B13" s="116">
        <v>244</v>
      </c>
      <c r="F13" s="99"/>
    </row>
    <row r="14" spans="1:7">
      <c r="A14" s="7" t="s">
        <v>66</v>
      </c>
      <c r="B14" s="116" t="s">
        <v>67</v>
      </c>
    </row>
    <row r="17" spans="1:7">
      <c r="A17" s="98" t="s">
        <v>68</v>
      </c>
      <c r="E17" s="130" t="s">
        <v>69</v>
      </c>
      <c r="F17" s="131"/>
    </row>
    <row r="18" spans="1:7">
      <c r="A18" s="7" t="s">
        <v>70</v>
      </c>
      <c r="B18" s="117">
        <v>2024</v>
      </c>
      <c r="E18" s="87" t="s">
        <v>71</v>
      </c>
      <c r="F18" s="123">
        <f>$B$12/$B$32</f>
        <v>1.3026315789473684E-2</v>
      </c>
    </row>
    <row r="19" spans="1:7" ht="30">
      <c r="A19" s="7" t="s">
        <v>72</v>
      </c>
      <c r="B19" s="118" t="s">
        <v>73</v>
      </c>
      <c r="E19" s="89" t="s">
        <v>74</v>
      </c>
      <c r="F19" s="124">
        <f>$B$12/$B$33</f>
        <v>1.32E-2</v>
      </c>
    </row>
    <row r="20" spans="1:7" ht="30">
      <c r="A20" s="113" t="s">
        <v>75</v>
      </c>
      <c r="B20" s="114">
        <f>VLOOKUP(B19,'Delay Reduction Factors'!B4:C80,2, FALSE)</f>
        <v>0.2</v>
      </c>
      <c r="E20" s="89" t="s">
        <v>76</v>
      </c>
      <c r="F20" s="123">
        <f>$F$19-$F$18</f>
        <v>1.7368421052631547E-4</v>
      </c>
    </row>
    <row r="21" spans="1:7">
      <c r="A21" s="7" t="s">
        <v>77</v>
      </c>
      <c r="B21" s="63">
        <v>30</v>
      </c>
      <c r="D21" s="100"/>
      <c r="E21" s="87" t="s">
        <v>78</v>
      </c>
      <c r="F21" s="123">
        <f>$F$20*$B$20</f>
        <v>3.4736842105263092E-5</v>
      </c>
      <c r="G21" s="101"/>
    </row>
    <row r="22" spans="1:7">
      <c r="D22" s="100"/>
      <c r="E22" s="87" t="s">
        <v>79</v>
      </c>
      <c r="F22" s="123">
        <f>$F$20-$F$21</f>
        <v>1.3894736842105237E-4</v>
      </c>
      <c r="G22" s="101"/>
    </row>
    <row r="23" spans="1:7">
      <c r="E23" s="87" t="s">
        <v>80</v>
      </c>
      <c r="F23" s="123">
        <f>$F$18+$F$22</f>
        <v>1.3165263157894737E-2</v>
      </c>
    </row>
    <row r="24" spans="1:7">
      <c r="A24" s="98" t="s">
        <v>81</v>
      </c>
      <c r="B24" s="102"/>
      <c r="D24" s="100"/>
    </row>
    <row r="25" spans="1:7">
      <c r="A25" s="7" t="s">
        <v>82</v>
      </c>
      <c r="B25" s="119">
        <v>69462</v>
      </c>
      <c r="D25" s="100"/>
    </row>
    <row r="28" spans="1:7">
      <c r="A28" s="87" t="s">
        <v>83</v>
      </c>
      <c r="B28" s="112">
        <f>IF(FacilityType='Delay Reduction Factors'!N5,'Inputs &amp; Outputs'!B25*45%, B25*43%)</f>
        <v>31257.9</v>
      </c>
      <c r="D28" s="100"/>
      <c r="E28" s="103" t="s">
        <v>84</v>
      </c>
      <c r="F28" s="104" t="s">
        <v>2</v>
      </c>
      <c r="G28" s="105" t="s">
        <v>85</v>
      </c>
    </row>
    <row r="29" spans="1:7">
      <c r="A29" s="87" t="s">
        <v>86</v>
      </c>
      <c r="B29" s="95">
        <f>VLOOKUP(Year_Open_to_Traffic?,Calculations!H4:I36,2)</f>
        <v>37694.184355283287</v>
      </c>
      <c r="D29" s="100"/>
      <c r="E29" s="89" t="s">
        <v>87</v>
      </c>
      <c r="F29" s="83">
        <f>$B$29*$F$23</f>
        <v>496.25385655950322</v>
      </c>
      <c r="G29" s="84">
        <f>$B$29*$F$19</f>
        <v>497.56323348973939</v>
      </c>
    </row>
    <row r="30" spans="1:7">
      <c r="B30" s="82"/>
      <c r="D30" s="100"/>
    </row>
    <row r="32" spans="1:7">
      <c r="A32" s="106" t="s">
        <v>88</v>
      </c>
      <c r="B32" s="120">
        <v>76</v>
      </c>
      <c r="D32" s="100"/>
    </row>
    <row r="33" spans="1:7" ht="30">
      <c r="A33" s="107" t="s">
        <v>89</v>
      </c>
      <c r="B33" s="121">
        <v>75</v>
      </c>
      <c r="D33" s="100"/>
      <c r="E33" s="100"/>
      <c r="F33" s="108"/>
    </row>
    <row r="34" spans="1:7">
      <c r="A34" s="109"/>
      <c r="B34" s="122"/>
      <c r="F34" s="108"/>
      <c r="G34" s="108"/>
    </row>
    <row r="35" spans="1:7">
      <c r="A35" s="87" t="s">
        <v>90</v>
      </c>
      <c r="B35" s="126">
        <f>$B$28</f>
        <v>31257.9</v>
      </c>
    </row>
    <row r="36" spans="1:7">
      <c r="A36" s="106" t="s">
        <v>91</v>
      </c>
      <c r="B36" s="120">
        <v>90286</v>
      </c>
    </row>
    <row r="37" spans="1:7">
      <c r="A37" s="106" t="s">
        <v>92</v>
      </c>
      <c r="B37" s="120">
        <v>38889</v>
      </c>
    </row>
    <row r="38" spans="1:7">
      <c r="A38" s="106" t="s">
        <v>93</v>
      </c>
      <c r="B38" s="120">
        <v>90286</v>
      </c>
    </row>
    <row r="39" spans="1:7">
      <c r="A39" s="106" t="s">
        <v>94</v>
      </c>
      <c r="B39" s="120">
        <v>63381</v>
      </c>
    </row>
    <row r="40" spans="1:7">
      <c r="A40" s="106" t="s">
        <v>95</v>
      </c>
      <c r="B40" s="120">
        <v>90286</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135.0977012955303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129026.00270547083</v>
      </c>
      <c r="F4" s="21">
        <f>'Inputs &amp; Outputs'!G29*Annual_Days_of_Travel</f>
        <v>129366.44070733224</v>
      </c>
      <c r="H4" s="49">
        <v>2018</v>
      </c>
      <c r="I4" s="50">
        <f>'Inputs &amp; Outputs'!B28</f>
        <v>31257.9</v>
      </c>
      <c r="J4" s="50">
        <f>IF(H4=Year_Open_to_Traffic?,$F$4,0)</f>
        <v>0</v>
      </c>
      <c r="K4" s="50">
        <f>IF(H4=Year_Open_to_Traffic?,Calculations!$E$4,0)</f>
        <v>0</v>
      </c>
      <c r="L4" s="50">
        <f>IF(AND(H4&gt;=Year_Open_to_Traffic?, Calculations!H4&lt;Year_Open_to_Traffic?+'Inputs &amp; Outputs'!B$21), 1, 0)</f>
        <v>0</v>
      </c>
      <c r="M4" s="65" t="s">
        <v>111</v>
      </c>
      <c r="N4" s="66">
        <f>MIN(E8,1)</f>
        <v>0.34620982212081608</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3.1697612381131668E-2</v>
      </c>
      <c r="F5" s="26"/>
      <c r="H5" s="14">
        <f t="shared" ref="H5:H36" si="3">H4+1</f>
        <v>2019</v>
      </c>
      <c r="I5" s="79">
        <f>(I4*M5)+I4</f>
        <v>32248.700798048176</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3.1697612381131668E-2</v>
      </c>
      <c r="N5" s="71">
        <f t="shared" ref="N5:N11" si="6">N4*(1+IFERROR(_2018_2025_V_C_Growth,_2018_2045_V_C_Growth))</f>
        <v>0.35718384686494226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2.4723310203722759E-2</v>
      </c>
      <c r="F6" s="26"/>
      <c r="H6" s="49">
        <f t="shared" si="3"/>
        <v>2020</v>
      </c>
      <c r="I6" s="79">
        <f t="shared" ref="I6:I36" si="10">(I5*M6)+I5</f>
        <v>33270.907615739801</v>
      </c>
      <c r="J6" s="50">
        <f t="shared" si="4"/>
        <v>0</v>
      </c>
      <c r="K6" s="50">
        <f>IF(H6=Year_Open_to_Traffic?,Calculations!$E$4,K5+(K5*M6))</f>
        <v>0</v>
      </c>
      <c r="L6" s="50">
        <f>IF(AND(H6&gt;=Year_Open_to_Traffic?, Calculations!H6&lt;Year_Open_to_Traffic?+'Inputs &amp; Outputs'!B$21), 1, 0)</f>
        <v>0</v>
      </c>
      <c r="M6" s="65">
        <f t="shared" si="5"/>
        <v>3.1697612381131668E-2</v>
      </c>
      <c r="N6" s="71">
        <f t="shared" si="6"/>
        <v>0.3685057219916687</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2.6526922630018435E-2</v>
      </c>
      <c r="F7" s="26"/>
      <c r="H7" s="14">
        <f t="shared" si="3"/>
        <v>2021</v>
      </c>
      <c r="I7" s="79">
        <f t="shared" si="10"/>
        <v>34325.515948911961</v>
      </c>
      <c r="J7" s="50">
        <f t="shared" si="4"/>
        <v>0</v>
      </c>
      <c r="K7" s="50">
        <f>IF(H7=Year_Open_to_Traffic?,Calculations!$E$4,K6+(K6*M7))</f>
        <v>0</v>
      </c>
      <c r="L7" s="50">
        <f>IF(AND(H7&gt;=Year_Open_to_Traffic?, Calculations!H7&lt;Year_Open_to_Traffic?+'Inputs &amp; Outputs'!B$21), 1, 0)</f>
        <v>0</v>
      </c>
      <c r="M7" s="65">
        <f t="shared" si="5"/>
        <v>3.1697612381131668E-2</v>
      </c>
      <c r="N7" s="71">
        <f t="shared" si="6"/>
        <v>0.38018647352758966</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0.34620982212081608</v>
      </c>
      <c r="F8" s="26"/>
      <c r="H8" s="49">
        <f t="shared" si="3"/>
        <v>2022</v>
      </c>
      <c r="I8" s="79">
        <f t="shared" si="10"/>
        <v>35413.552848242929</v>
      </c>
      <c r="J8" s="50">
        <f t="shared" si="4"/>
        <v>0</v>
      </c>
      <c r="K8" s="50">
        <f>IF(H8=Year_Open_to_Traffic?,Calculations!$E$4,K7+(K7*M8))</f>
        <v>0</v>
      </c>
      <c r="L8" s="50">
        <f>IF(AND(H8&gt;=Year_Open_to_Traffic?, Calculations!H8&lt;Year_Open_to_Traffic?+'Inputs &amp; Outputs'!B$21), 1, 0)</f>
        <v>0</v>
      </c>
      <c r="M8" s="65">
        <f t="shared" si="5"/>
        <v>3.1697612381131668E-2</v>
      </c>
      <c r="N8" s="71">
        <f t="shared" si="6"/>
        <v>0.39223747699801659</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0.43073123186319029</v>
      </c>
      <c r="F9" s="26"/>
      <c r="H9" s="14">
        <f t="shared" si="3"/>
        <v>2023</v>
      </c>
      <c r="I9" s="79">
        <f t="shared" si="10"/>
        <v>36536.077919465257</v>
      </c>
      <c r="J9" s="50">
        <f t="shared" si="4"/>
        <v>0</v>
      </c>
      <c r="K9" s="50">
        <f>IF(H9=Year_Open_to_Traffic?,Calculations!$E$4,K8+(K8*M9))</f>
        <v>0</v>
      </c>
      <c r="L9" s="50">
        <f>IF(AND(H9&gt;=Year_Open_to_Traffic?, Calculations!H9&lt;Year_Open_to_Traffic?+'Inputs &amp; Outputs'!B$21), 1, 0)</f>
        <v>0</v>
      </c>
      <c r="M9" s="65">
        <f t="shared" si="5"/>
        <v>3.1697612381131668E-2</v>
      </c>
      <c r="N9" s="71">
        <f t="shared" si="6"/>
        <v>0.40467046850525279</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0.70200252530846419</v>
      </c>
      <c r="F10" s="26"/>
      <c r="H10" s="49">
        <f t="shared" si="3"/>
        <v>2024</v>
      </c>
      <c r="I10" s="79">
        <f t="shared" si="10"/>
        <v>37694.184355283287</v>
      </c>
      <c r="J10" s="50">
        <f t="shared" si="4"/>
        <v>129366.44070733224</v>
      </c>
      <c r="K10" s="50">
        <f>IF(H10=Year_Open_to_Traffic?,Calculations!$E$4,K9+(K9*M10))</f>
        <v>129026.00270547083</v>
      </c>
      <c r="L10" s="50">
        <f>IF(AND(H10&gt;=Year_Open_to_Traffic?, Calculations!H10&lt;Year_Open_to_Traffic?+'Inputs &amp; Outputs'!B$21), 1, 0)</f>
        <v>1</v>
      </c>
      <c r="M10" s="65">
        <f t="shared" si="5"/>
        <v>3.1697612381131668E-2</v>
      </c>
      <c r="N10" s="71">
        <f t="shared" si="6"/>
        <v>0.41749755615802325</v>
      </c>
      <c r="O10" s="72">
        <f t="shared" si="7"/>
        <v>1</v>
      </c>
      <c r="P10" s="68">
        <f>(J10-K10)*L10</f>
        <v>340.43800186140288</v>
      </c>
      <c r="Q10" s="69">
        <f t="shared" si="0"/>
        <v>1</v>
      </c>
      <c r="R10" s="70">
        <f t="shared" si="1"/>
        <v>20.320200961804083</v>
      </c>
      <c r="S10" s="77">
        <f t="shared" si="2"/>
        <v>9.6156983718736466</v>
      </c>
      <c r="T10" s="64">
        <f t="shared" si="9"/>
        <v>6.4073458366631044</v>
      </c>
      <c r="W10" s="58"/>
    </row>
    <row r="11" spans="1:24" ht="30" customHeight="1">
      <c r="A11" s="132" t="s">
        <v>121</v>
      </c>
      <c r="B11" s="133"/>
      <c r="D11" s="17" t="s">
        <v>122</v>
      </c>
      <c r="E11" s="39">
        <f>(E9/E8)^(1/(2025-2018))-1</f>
        <v>3.1697612381131668E-2</v>
      </c>
      <c r="F11" s="26"/>
      <c r="H11" s="14">
        <f t="shared" si="3"/>
        <v>2025</v>
      </c>
      <c r="I11" s="79">
        <f t="shared" si="10"/>
        <v>38888.999999999971</v>
      </c>
      <c r="J11" s="50">
        <f t="shared" si="4"/>
        <v>133467.04799999989</v>
      </c>
      <c r="K11" s="50">
        <f>IF(H11=Year_Open_to_Traffic?,Calculations!$E$4,K10+(K10*M11))</f>
        <v>133115.8189263157</v>
      </c>
      <c r="L11" s="50">
        <f>IF(AND(H11&gt;=Year_Open_to_Traffic?, Calculations!H11&lt;Year_Open_to_Traffic?+'Inputs &amp; Outputs'!B$21), 1, 0)</f>
        <v>1</v>
      </c>
      <c r="M11" s="65">
        <f t="shared" si="5"/>
        <v>3.1697612381131668E-2</v>
      </c>
      <c r="N11" s="71">
        <f t="shared" si="6"/>
        <v>0.43073123186319001</v>
      </c>
      <c r="O11" s="72">
        <f t="shared" si="7"/>
        <v>1</v>
      </c>
      <c r="P11" s="68">
        <f t="shared" si="8"/>
        <v>351.22907368419692</v>
      </c>
      <c r="Q11" s="69">
        <f t="shared" si="0"/>
        <v>1</v>
      </c>
      <c r="R11" s="70">
        <f t="shared" si="1"/>
        <v>20.787565583925574</v>
      </c>
      <c r="S11" s="77">
        <f t="shared" si="2"/>
        <v>10.148664391826424</v>
      </c>
      <c r="T11" s="64">
        <f t="shared" si="9"/>
        <v>6.3200781304832461</v>
      </c>
      <c r="W11" s="58"/>
    </row>
    <row r="12" spans="1:24">
      <c r="A12" s="17" t="s">
        <v>55</v>
      </c>
      <c r="B12" s="18">
        <v>0.45</v>
      </c>
      <c r="D12" s="17" t="s">
        <v>123</v>
      </c>
      <c r="E12" s="39">
        <f>(E10/E9)^(1/(2045-2025))-1</f>
        <v>2.4723310203722759E-2</v>
      </c>
      <c r="F12" s="26"/>
      <c r="H12" s="49">
        <v>2026</v>
      </c>
      <c r="I12" s="79">
        <f t="shared" si="10"/>
        <v>39850.464810512545</v>
      </c>
      <c r="J12" s="50">
        <f t="shared" si="4"/>
        <v>136766.79522967903</v>
      </c>
      <c r="K12" s="50">
        <f>IF(H12=Year_Open_to_Traffic?,Calculations!$E$4,K11+(K11*M12))</f>
        <v>136406.88261065359</v>
      </c>
      <c r="L12" s="50">
        <f>IF(AND(H12&gt;=Year_Open_to_Traffic?, Calculations!H12&lt;Year_Open_to_Traffic?+'Inputs &amp; Outputs'!B$21), 1, 0)</f>
        <v>1</v>
      </c>
      <c r="M12" s="65">
        <f t="shared" ref="M12:M36" si="11">IFERROR(_2025_2045_Demand_Growth,_2018_2045_Demand_Growth)</f>
        <v>2.4723310203722759E-2</v>
      </c>
      <c r="N12" s="71">
        <f t="shared" ref="N12:N36" si="12">N11*(1+IFERROR(_2025_2045_V_C_Growth,_2018_2045_V_C_Growth))</f>
        <v>0.4413803337229753</v>
      </c>
      <c r="O12" s="72">
        <f t="shared" si="7"/>
        <v>1</v>
      </c>
      <c r="P12" s="68">
        <f t="shared" si="8"/>
        <v>359.91261902544647</v>
      </c>
      <c r="Q12" s="69">
        <f t="shared" si="0"/>
        <v>1</v>
      </c>
      <c r="R12" s="70">
        <f t="shared" si="1"/>
        <v>21.265679592355859</v>
      </c>
      <c r="S12" s="77">
        <f t="shared" si="2"/>
        <v>10.638763148042692</v>
      </c>
      <c r="T12" s="64">
        <f t="shared" si="9"/>
        <v>6.1918570134718562</v>
      </c>
      <c r="W12" s="58"/>
    </row>
    <row r="13" spans="1:24">
      <c r="A13" s="17" t="s">
        <v>124</v>
      </c>
      <c r="B13" s="18">
        <v>0.43</v>
      </c>
      <c r="D13" s="17" t="s">
        <v>125</v>
      </c>
      <c r="E13" s="39">
        <f>(E10/E8)^(1/(2045-2018))-1</f>
        <v>2.6526922630018435E-2</v>
      </c>
      <c r="F13" s="26"/>
      <c r="H13" s="14">
        <f t="shared" si="3"/>
        <v>2027</v>
      </c>
      <c r="I13" s="79">
        <f t="shared" si="10"/>
        <v>40835.700213785385</v>
      </c>
      <c r="J13" s="50">
        <f t="shared" si="4"/>
        <v>140148.12313371143</v>
      </c>
      <c r="K13" s="50">
        <f>IF(H13=Year_Open_to_Traffic?,Calculations!$E$4,K12+(K12*M13))</f>
        <v>139779.31228335958</v>
      </c>
      <c r="L13" s="50">
        <f>IF(AND(H13&gt;=Year_Open_to_Traffic?, Calculations!H13&lt;Year_Open_to_Traffic?+'Inputs &amp; Outputs'!B$21), 1, 0)</f>
        <v>1</v>
      </c>
      <c r="M13" s="65">
        <f t="shared" si="11"/>
        <v>2.4723310203722759E-2</v>
      </c>
      <c r="N13" s="71">
        <f t="shared" si="12"/>
        <v>0.45229271663143111</v>
      </c>
      <c r="O13" s="72">
        <f t="shared" si="7"/>
        <v>1</v>
      </c>
      <c r="P13" s="68">
        <f t="shared" si="8"/>
        <v>368.81085035184515</v>
      </c>
      <c r="Q13" s="69">
        <f t="shared" si="0"/>
        <v>1</v>
      </c>
      <c r="R13" s="70">
        <f t="shared" si="1"/>
        <v>21.754790222980041</v>
      </c>
      <c r="S13" s="77">
        <f t="shared" si="2"/>
        <v>11.152529727094953</v>
      </c>
      <c r="T13" s="64">
        <f t="shared" si="9"/>
        <v>6.0662372337397246</v>
      </c>
      <c r="W13" s="58"/>
    </row>
    <row r="14" spans="1:24">
      <c r="H14" s="49">
        <f>H13+1</f>
        <v>2028</v>
      </c>
      <c r="I14" s="79">
        <f t="shared" si="10"/>
        <v>41845.293897557029</v>
      </c>
      <c r="J14" s="50">
        <f t="shared" si="4"/>
        <v>143613.04865641572</v>
      </c>
      <c r="K14" s="50">
        <f>IF(H14=Year_Open_to_Traffic?,Calculations!$E$4,K13+(K13*M14))</f>
        <v>143235.11958100411</v>
      </c>
      <c r="L14" s="50">
        <f>IF(AND(H14&gt;=Year_Open_to_Traffic?, Calculations!H14&lt;Year_Open_to_Traffic?+'Inputs &amp; Outputs'!B$21), 1, 0)</f>
        <v>1</v>
      </c>
      <c r="M14" s="65">
        <f t="shared" si="11"/>
        <v>2.4723310203722759E-2</v>
      </c>
      <c r="N14" s="71">
        <f t="shared" si="12"/>
        <v>0.46347488976759443</v>
      </c>
      <c r="O14" s="72">
        <f t="shared" si="7"/>
        <v>1</v>
      </c>
      <c r="P14" s="68">
        <f t="shared" si="8"/>
        <v>377.92907541160821</v>
      </c>
      <c r="Q14" s="69">
        <f t="shared" si="0"/>
        <v>1</v>
      </c>
      <c r="R14" s="70">
        <f t="shared" si="1"/>
        <v>22.255150398108579</v>
      </c>
      <c r="S14" s="77">
        <f t="shared" si="2"/>
        <v>11.691107094213809</v>
      </c>
      <c r="T14" s="64">
        <f t="shared" si="9"/>
        <v>5.943166015614767</v>
      </c>
      <c r="W14" s="58"/>
    </row>
    <row r="15" spans="1:24">
      <c r="H15" s="14">
        <f t="shared" si="3"/>
        <v>2029</v>
      </c>
      <c r="I15" s="79">
        <f t="shared" si="10"/>
        <v>42879.848079152282</v>
      </c>
      <c r="J15" s="50">
        <f t="shared" si="4"/>
        <v>147163.63860765062</v>
      </c>
      <c r="K15" s="50">
        <f>IF(H15=Year_Open_to_Traffic?,Calculations!$E$4,K14+(K14*M15))</f>
        <v>146776.3658744726</v>
      </c>
      <c r="L15" s="50">
        <f>IF(AND(H15&gt;=Year_Open_to_Traffic?, Calculations!H15&lt;Year_Open_to_Traffic?+'Inputs &amp; Outputs'!B$21), 1, 0)</f>
        <v>1</v>
      </c>
      <c r="M15" s="65">
        <f t="shared" si="11"/>
        <v>2.4723310203722759E-2</v>
      </c>
      <c r="N15" s="71">
        <f t="shared" si="12"/>
        <v>0.47493352323895488</v>
      </c>
      <c r="O15" s="72">
        <f t="shared" si="7"/>
        <v>1</v>
      </c>
      <c r="P15" s="68">
        <f t="shared" si="8"/>
        <v>387.27273317801883</v>
      </c>
      <c r="Q15" s="69">
        <f t="shared" si="0"/>
        <v>1</v>
      </c>
      <c r="R15" s="70">
        <f t="shared" si="1"/>
        <v>22.767018857265079</v>
      </c>
      <c r="S15" s="77">
        <f t="shared" si="2"/>
        <v>12.255693410644271</v>
      </c>
      <c r="T15" s="64">
        <f t="shared" si="9"/>
        <v>5.822591654131906</v>
      </c>
      <c r="W15" s="58"/>
    </row>
    <row r="16" spans="1:24">
      <c r="H16" s="49">
        <f t="shared" si="3"/>
        <v>2030</v>
      </c>
      <c r="I16" s="79">
        <f t="shared" si="10"/>
        <v>43939.979864701672</v>
      </c>
      <c r="J16" s="50">
        <f t="shared" si="4"/>
        <v>150802.0108956561</v>
      </c>
      <c r="K16" s="50">
        <f>IF(H16=Year_Open_to_Traffic?,Calculations!$E$4,K15+(K15*M16))</f>
        <v>150405.16349856229</v>
      </c>
      <c r="L16" s="50">
        <f>IF(AND(H16&gt;=Year_Open_to_Traffic?, Calculations!H16&lt;Year_Open_to_Traffic?+'Inputs &amp; Outputs'!B$21), 1, 0)</f>
        <v>1</v>
      </c>
      <c r="M16" s="65">
        <f t="shared" si="11"/>
        <v>2.4723310203722759E-2</v>
      </c>
      <c r="N16" s="71">
        <f t="shared" si="12"/>
        <v>0.48667545206013851</v>
      </c>
      <c r="O16" s="72">
        <f t="shared" si="7"/>
        <v>1</v>
      </c>
      <c r="P16" s="68">
        <f t="shared" si="8"/>
        <v>396.84739709380665</v>
      </c>
      <c r="Q16" s="69">
        <f t="shared" si="0"/>
        <v>1</v>
      </c>
      <c r="R16" s="70">
        <f t="shared" si="1"/>
        <v>23.290660290982171</v>
      </c>
      <c r="S16" s="77">
        <f t="shared" si="2"/>
        <v>12.847544699170577</v>
      </c>
      <c r="T16" s="64">
        <f t="shared" si="9"/>
        <v>5.7044634933116507</v>
      </c>
      <c r="W16" s="58"/>
    </row>
    <row r="17" spans="1:23">
      <c r="A17" s="27"/>
      <c r="H17" s="14">
        <f t="shared" si="3"/>
        <v>2031</v>
      </c>
      <c r="I17" s="79">
        <f t="shared" si="10"/>
        <v>45026.321617242022</v>
      </c>
      <c r="J17" s="50">
        <f t="shared" si="4"/>
        <v>154530.33579037458</v>
      </c>
      <c r="K17" s="50">
        <f>IF(H17=Year_Open_to_Traffic?,Calculations!$E$4,K16+(K16*M17))</f>
        <v>154123.6770119789</v>
      </c>
      <c r="L17" s="50">
        <f>IF(AND(H17&gt;=Year_Open_to_Traffic?, Calculations!H17&lt;Year_Open_to_Traffic?+'Inputs &amp; Outputs'!B$21), 1, 0)</f>
        <v>1</v>
      </c>
      <c r="M17" s="65">
        <f t="shared" si="11"/>
        <v>2.4723310203722759E-2</v>
      </c>
      <c r="N17" s="71">
        <f t="shared" si="12"/>
        <v>0.49870768022995832</v>
      </c>
      <c r="O17" s="72">
        <f t="shared" si="7"/>
        <v>1</v>
      </c>
      <c r="P17" s="68">
        <f t="shared" si="8"/>
        <v>406.65877839567838</v>
      </c>
      <c r="Q17" s="69">
        <f t="shared" si="0"/>
        <v>1</v>
      </c>
      <c r="R17" s="70">
        <f t="shared" si="1"/>
        <v>23.82634547767476</v>
      </c>
      <c r="S17" s="77">
        <f t="shared" si="2"/>
        <v>13.467977638362612</v>
      </c>
      <c r="T17" s="64">
        <f t="shared" si="9"/>
        <v>5.588731904878312</v>
      </c>
      <c r="W17" s="58"/>
    </row>
    <row r="18" spans="1:23">
      <c r="H18" s="49">
        <f t="shared" si="3"/>
        <v>2032</v>
      </c>
      <c r="I18" s="79">
        <f t="shared" si="10"/>
        <v>46139.521333917684</v>
      </c>
      <c r="J18" s="50">
        <f t="shared" si="4"/>
        <v>158350.83721800544</v>
      </c>
      <c r="K18" s="50">
        <f>IF(H18=Year_Open_to_Traffic?,Calculations!$E$4,K17+(K17*M18))</f>
        <v>157934.12448848443</v>
      </c>
      <c r="L18" s="50">
        <f>IF(AND(H18&gt;=Year_Open_to_Traffic?, Calculations!H18&lt;Year_Open_to_Traffic?+'Inputs &amp; Outputs'!B$21), 1, 0)</f>
        <v>1</v>
      </c>
      <c r="M18" s="65">
        <f t="shared" si="11"/>
        <v>2.4723310203722759E-2</v>
      </c>
      <c r="N18" s="71">
        <f t="shared" si="12"/>
        <v>0.51103738490926254</v>
      </c>
      <c r="O18" s="72">
        <f t="shared" si="7"/>
        <v>1</v>
      </c>
      <c r="P18" s="68">
        <f t="shared" si="8"/>
        <v>416.71272952100844</v>
      </c>
      <c r="Q18" s="69">
        <f t="shared" si="0"/>
        <v>1</v>
      </c>
      <c r="R18" s="70">
        <f t="shared" si="1"/>
        <v>24.374351423661277</v>
      </c>
      <c r="S18" s="77">
        <f t="shared" si="2"/>
        <v>14.118372491760855</v>
      </c>
      <c r="T18" s="64">
        <f t="shared" si="9"/>
        <v>5.475348267409589</v>
      </c>
      <c r="W18" s="58"/>
    </row>
    <row r="19" spans="1:23">
      <c r="H19" s="14">
        <f t="shared" si="3"/>
        <v>2033</v>
      </c>
      <c r="I19" s="79">
        <f t="shared" si="10"/>
        <v>47280.243032507417</v>
      </c>
      <c r="J19" s="50">
        <f t="shared" si="4"/>
        <v>162265.79408756539</v>
      </c>
      <c r="K19" s="50">
        <f>IF(H19=Year_Open_to_Traffic?,Calculations!$E$4,K18+(K18*M19))</f>
        <v>161838.7788399666</v>
      </c>
      <c r="L19" s="50">
        <f>IF(AND(H19&gt;=Year_Open_to_Traffic?, Calculations!H19&lt;Year_Open_to_Traffic?+'Inputs &amp; Outputs'!B$21), 1, 0)</f>
        <v>1</v>
      </c>
      <c r="M19" s="65">
        <f t="shared" si="11"/>
        <v>2.4723310203722759E-2</v>
      </c>
      <c r="N19" s="71">
        <f t="shared" si="12"/>
        <v>0.52367192070207347</v>
      </c>
      <c r="O19" s="72">
        <f t="shared" si="7"/>
        <v>1</v>
      </c>
      <c r="P19" s="68">
        <f t="shared" si="8"/>
        <v>427.01524759878521</v>
      </c>
      <c r="Q19" s="69">
        <f t="shared" si="0"/>
        <v>1</v>
      </c>
      <c r="R19" s="70">
        <f t="shared" si="1"/>
        <v>24.934961506405479</v>
      </c>
      <c r="S19" s="77">
        <f t="shared" si="2"/>
        <v>14.800176178518239</v>
      </c>
      <c r="T19" s="64">
        <f t="shared" si="9"/>
        <v>5.3642649459096052</v>
      </c>
      <c r="W19" s="58"/>
    </row>
    <row r="20" spans="1:23">
      <c r="H20" s="49">
        <f t="shared" si="3"/>
        <v>2034</v>
      </c>
      <c r="I20" s="79">
        <f t="shared" si="10"/>
        <v>48449.167147507498</v>
      </c>
      <c r="J20" s="50">
        <f t="shared" si="4"/>
        <v>166277.54165024566</v>
      </c>
      <c r="K20" s="50">
        <f>IF(H20=Year_Open_to_Traffic?,Calculations!$E$4,K19+(K19*M20))</f>
        <v>165839.96917221879</v>
      </c>
      <c r="L20" s="50">
        <f>IF(AND(H20&gt;=Year_Open_to_Traffic?, Calculations!H20&lt;Year_Open_to_Traffic?+'Inputs &amp; Outputs'!B$21), 1, 0)</f>
        <v>1</v>
      </c>
      <c r="M20" s="65">
        <f t="shared" si="11"/>
        <v>2.4723310203722759E-2</v>
      </c>
      <c r="N20" s="71">
        <f t="shared" si="12"/>
        <v>0.53661882404257011</v>
      </c>
      <c r="O20" s="72">
        <f t="shared" si="7"/>
        <v>1</v>
      </c>
      <c r="P20" s="68">
        <f t="shared" si="8"/>
        <v>437.57247802687925</v>
      </c>
      <c r="Q20" s="69">
        <f t="shared" si="0"/>
        <v>1</v>
      </c>
      <c r="R20" s="70">
        <f t="shared" si="1"/>
        <v>25.508465621052807</v>
      </c>
      <c r="S20" s="77">
        <f t="shared" si="2"/>
        <v>15.51490549232987</v>
      </c>
      <c r="T20" s="64">
        <f t="shared" si="9"/>
        <v>5.2554352717965855</v>
      </c>
      <c r="W20" s="58"/>
    </row>
    <row r="21" spans="1:23">
      <c r="H21" s="14">
        <f t="shared" si="3"/>
        <v>2035</v>
      </c>
      <c r="I21" s="79">
        <f t="shared" si="10"/>
        <v>49646.990936007336</v>
      </c>
      <c r="J21" s="50">
        <f t="shared" si="4"/>
        <v>170388.47289237712</v>
      </c>
      <c r="K21" s="50">
        <f>IF(H21=Year_Open_to_Traffic?,Calculations!$E$4,K20+(K20*M21))</f>
        <v>169940.08217423936</v>
      </c>
      <c r="L21" s="50">
        <f>IF(AND(H21&gt;=Year_Open_to_Traffic?, Calculations!H21&lt;Year_Open_to_Traffic?+'Inputs &amp; Outputs'!B$21), 1, 0)</f>
        <v>1</v>
      </c>
      <c r="M21" s="65">
        <f t="shared" si="11"/>
        <v>2.4723310203722759E-2</v>
      </c>
      <c r="N21" s="71">
        <f t="shared" si="12"/>
        <v>0.54988581769053146</v>
      </c>
      <c r="O21" s="72">
        <f t="shared" si="7"/>
        <v>1</v>
      </c>
      <c r="P21" s="68">
        <f t="shared" si="8"/>
        <v>448.39071813775809</v>
      </c>
      <c r="Q21" s="69">
        <f t="shared" si="0"/>
        <v>1</v>
      </c>
      <c r="R21" s="70">
        <f t="shared" si="1"/>
        <v>26.095160330337016</v>
      </c>
      <c r="S21" s="77">
        <f t="shared" si="2"/>
        <v>16.264150475811256</v>
      </c>
      <c r="T21" s="64">
        <f t="shared" si="9"/>
        <v>5.148813523296516</v>
      </c>
      <c r="W21" s="58"/>
    </row>
    <row r="22" spans="1:23">
      <c r="H22" s="49">
        <f>H21+1</f>
        <v>2036</v>
      </c>
      <c r="I22" s="79">
        <f t="shared" si="10"/>
        <v>50874.428893599659</v>
      </c>
      <c r="J22" s="50">
        <f t="shared" si="4"/>
        <v>174601.03996283395</v>
      </c>
      <c r="K22" s="50">
        <f>IF(H22=Year_Open_to_Traffic?,Calculations!$E$4,K21+(K21*M22))</f>
        <v>174141.56354187921</v>
      </c>
      <c r="L22" s="50">
        <f>IF(AND(H22&gt;=Year_Open_to_Traffic?, Calculations!H22&lt;Year_Open_to_Traffic?+'Inputs &amp; Outputs'!B$21), 1, 0)</f>
        <v>1</v>
      </c>
      <c r="M22" s="65">
        <f t="shared" si="11"/>
        <v>2.4723310203722759E-2</v>
      </c>
      <c r="N22" s="71">
        <f t="shared" si="12"/>
        <v>0.56348081533792216</v>
      </c>
      <c r="O22" s="72">
        <f t="shared" si="7"/>
        <v>1</v>
      </c>
      <c r="P22" s="68">
        <f t="shared" si="8"/>
        <v>459.47642095474293</v>
      </c>
      <c r="Q22" s="69">
        <f t="shared" si="0"/>
        <v>1</v>
      </c>
      <c r="R22" s="70">
        <f t="shared" si="1"/>
        <v>26.695349017934767</v>
      </c>
      <c r="S22" s="77">
        <f t="shared" si="2"/>
        <v>17.049577957828745</v>
      </c>
      <c r="T22" s="64">
        <f t="shared" si="9"/>
        <v>5.0443549062336102</v>
      </c>
      <c r="W22" s="58"/>
    </row>
    <row r="23" spans="1:23">
      <c r="H23" s="14">
        <f t="shared" si="3"/>
        <v>2037</v>
      </c>
      <c r="I23" s="79">
        <f t="shared" si="10"/>
        <v>52132.213180573359</v>
      </c>
      <c r="J23" s="50">
        <f t="shared" si="4"/>
        <v>178917.75563572769</v>
      </c>
      <c r="K23" s="50">
        <f>IF(H23=Year_Open_to_Traffic?,Calculations!$E$4,K22+(K22*M23))</f>
        <v>178446.91943668638</v>
      </c>
      <c r="L23" s="50">
        <f>IF(AND(H23&gt;=Year_Open_to_Traffic?, Calculations!H23&lt;Year_Open_to_Traffic?+'Inputs &amp; Outputs'!B$21), 1, 0)</f>
        <v>1</v>
      </c>
      <c r="M23" s="65">
        <f t="shared" si="11"/>
        <v>2.4723310203722759E-2</v>
      </c>
      <c r="N23" s="71">
        <f t="shared" si="12"/>
        <v>0.57741192632936822</v>
      </c>
      <c r="O23" s="72">
        <f t="shared" si="7"/>
        <v>1</v>
      </c>
      <c r="P23" s="68">
        <f t="shared" si="8"/>
        <v>470.83619904131046</v>
      </c>
      <c r="Q23" s="69">
        <f t="shared" si="0"/>
        <v>1</v>
      </c>
      <c r="R23" s="70">
        <f t="shared" si="1"/>
        <v>27.309342045347261</v>
      </c>
      <c r="S23" s="77">
        <f t="shared" si="2"/>
        <v>17.872935261660992</v>
      </c>
      <c r="T23" s="64">
        <f t="shared" si="9"/>
        <v>4.9420155352125335</v>
      </c>
      <c r="W23" s="58"/>
    </row>
    <row r="24" spans="1:23">
      <c r="H24" s="49">
        <f t="shared" si="3"/>
        <v>2038</v>
      </c>
      <c r="I24" s="79">
        <f t="shared" si="10"/>
        <v>53421.094058643277</v>
      </c>
      <c r="J24" s="50">
        <f t="shared" si="4"/>
        <v>183341.19480926366</v>
      </c>
      <c r="K24" s="50">
        <f>IF(H24=Year_Open_to_Traffic?,Calculations!$E$4,K23+(K23*M24))</f>
        <v>182858.7179808183</v>
      </c>
      <c r="L24" s="50">
        <f>IF(AND(H24&gt;=Year_Open_to_Traffic?, Calculations!H24&lt;Year_Open_to_Traffic?+'Inputs &amp; Outputs'!B$21), 1, 0)</f>
        <v>1</v>
      </c>
      <c r="M24" s="65">
        <f t="shared" si="11"/>
        <v>2.4723310203722759E-2</v>
      </c>
      <c r="N24" s="71">
        <f t="shared" si="12"/>
        <v>0.59168746049933829</v>
      </c>
      <c r="O24" s="72">
        <f t="shared" si="7"/>
        <v>1</v>
      </c>
      <c r="P24" s="68">
        <f>(J24-K24)*L24</f>
        <v>482.4768284453603</v>
      </c>
      <c r="Q24" s="69">
        <f t="shared" si="0"/>
        <v>1</v>
      </c>
      <c r="R24" s="70">
        <f t="shared" si="1"/>
        <v>27.93745691239025</v>
      </c>
      <c r="S24" s="77">
        <f t="shared" si="2"/>
        <v>18.736054092227345</v>
      </c>
      <c r="T24" s="64">
        <f t="shared" si="9"/>
        <v>4.8417524151800944</v>
      </c>
      <c r="W24" s="58"/>
    </row>
    <row r="25" spans="1:23">
      <c r="H25" s="14">
        <f t="shared" si="3"/>
        <v>2039</v>
      </c>
      <c r="I25" s="79">
        <f t="shared" si="10"/>
        <v>54741.840338477363</v>
      </c>
      <c r="J25" s="50">
        <f t="shared" si="4"/>
        <v>187873.99604165426</v>
      </c>
      <c r="K25" s="50">
        <f>IF(H25=Year_Open_to_Traffic?,Calculations!$E$4,K24+(K24*M25))</f>
        <v>187379.59078891313</v>
      </c>
      <c r="L25" s="50">
        <f>IF(AND(H25&gt;=Year_Open_to_Traffic?, Calculations!H25&lt;Year_Open_to_Traffic?+'Inputs &amp; Outputs'!B$21), 1, 0)</f>
        <v>1</v>
      </c>
      <c r="M25" s="65">
        <f t="shared" si="11"/>
        <v>2.4723310203722759E-2</v>
      </c>
      <c r="N25" s="71">
        <f t="shared" si="12"/>
        <v>0.60631593312891641</v>
      </c>
      <c r="O25" s="72">
        <f t="shared" si="7"/>
        <v>1</v>
      </c>
      <c r="P25" s="68">
        <f t="shared" si="8"/>
        <v>494.40525274112588</v>
      </c>
      <c r="Q25" s="69">
        <f t="shared" si="0"/>
        <v>1</v>
      </c>
      <c r="R25" s="70">
        <f t="shared" si="1"/>
        <v>28.580018421375218</v>
      </c>
      <c r="S25" s="77">
        <f t="shared" si="2"/>
        <v>19.640854611042805</v>
      </c>
      <c r="T25" s="64">
        <f t="shared" si="9"/>
        <v>4.7435234233624826</v>
      </c>
      <c r="W25" s="58"/>
    </row>
    <row r="26" spans="1:23">
      <c r="H26" s="49">
        <f t="shared" si="3"/>
        <v>2040</v>
      </c>
      <c r="I26" s="79">
        <f t="shared" si="10"/>
        <v>56095.239838288202</v>
      </c>
      <c r="J26" s="50">
        <f t="shared" si="4"/>
        <v>192518.86312500507</v>
      </c>
      <c r="K26" s="50">
        <f>IF(H26=Year_Open_to_Traffic?,Calculations!$E$4,K25+(K25*M26))</f>
        <v>192012.23453783407</v>
      </c>
      <c r="L26" s="50">
        <f>IF(AND(H26&gt;=Year_Open_to_Traffic?, Calculations!H26&lt;Year_Open_to_Traffic?+'Inputs &amp; Outputs'!B$21), 1, 0)</f>
        <v>1</v>
      </c>
      <c r="M26" s="65">
        <f t="shared" si="11"/>
        <v>2.4723310203722759E-2</v>
      </c>
      <c r="N26" s="71">
        <f t="shared" si="12"/>
        <v>0.62130607002512228</v>
      </c>
      <c r="O26" s="72">
        <f t="shared" si="7"/>
        <v>1</v>
      </c>
      <c r="P26" s="68">
        <f t="shared" si="8"/>
        <v>506.6285871709988</v>
      </c>
      <c r="Q26" s="69">
        <f t="shared" si="0"/>
        <v>1</v>
      </c>
      <c r="R26" s="70">
        <f t="shared" si="1"/>
        <v>29.237358845066851</v>
      </c>
      <c r="S26" s="77">
        <f t="shared" si="2"/>
        <v>20.589349707959933</v>
      </c>
      <c r="T26" s="64">
        <f t="shared" si="9"/>
        <v>4.6472872915687171</v>
      </c>
      <c r="W26" s="58"/>
    </row>
    <row r="27" spans="1:23">
      <c r="H27" s="14">
        <f t="shared" si="3"/>
        <v>2041</v>
      </c>
      <c r="I27" s="79">
        <f t="shared" si="10"/>
        <v>57482.099853762425</v>
      </c>
      <c r="J27" s="50">
        <f t="shared" si="4"/>
        <v>197278.56669811261</v>
      </c>
      <c r="K27" s="50">
        <f>IF(H27=Year_Open_to_Traffic?,Calculations!$E$4,K26+(K26*M27))</f>
        <v>196759.4125752229</v>
      </c>
      <c r="L27" s="50">
        <f>IF(AND(H27&gt;=Year_Open_to_Traffic?, Calculations!H27&lt;Year_Open_to_Traffic?+'Inputs &amp; Outputs'!B$21), 1, 0)</f>
        <v>1</v>
      </c>
      <c r="M27" s="65">
        <f t="shared" si="11"/>
        <v>2.4723310203722759E-2</v>
      </c>
      <c r="N27" s="71">
        <f t="shared" si="12"/>
        <v>0.63666681272580927</v>
      </c>
      <c r="O27" s="72">
        <f t="shared" si="7"/>
        <v>1</v>
      </c>
      <c r="P27" s="68">
        <f t="shared" si="8"/>
        <v>519.15412288971129</v>
      </c>
      <c r="Q27" s="69">
        <f t="shared" si="0"/>
        <v>1</v>
      </c>
      <c r="R27" s="70">
        <f t="shared" si="1"/>
        <v>29.909818098503379</v>
      </c>
      <c r="S27" s="77">
        <f t="shared" si="2"/>
        <v>21.583649479199874</v>
      </c>
      <c r="T27" s="64">
        <f t="shared" si="9"/>
        <v>4.5530035888527243</v>
      </c>
      <c r="W27" s="58"/>
    </row>
    <row r="28" spans="1:23">
      <c r="H28" s="49">
        <f t="shared" si="3"/>
        <v>2042</v>
      </c>
      <c r="I28" s="79">
        <f t="shared" si="10"/>
        <v>58903.247639608358</v>
      </c>
      <c r="J28" s="50">
        <f t="shared" si="4"/>
        <v>202155.94589913587</v>
      </c>
      <c r="K28" s="50">
        <f>IF(H28=Year_Open_to_Traffic?,Calculations!$E$4,K27+(K27*M28))</f>
        <v>201623.9565678224</v>
      </c>
      <c r="L28" s="50">
        <f>IF(AND(H28&gt;=Year_Open_to_Traffic?, Calculations!H28&lt;Year_Open_to_Traffic?+'Inputs &amp; Outputs'!B$21), 1, 0)</f>
        <v>1</v>
      </c>
      <c r="M28" s="65">
        <f t="shared" si="11"/>
        <v>2.4723310203722759E-2</v>
      </c>
      <c r="N28" s="71">
        <f t="shared" si="12"/>
        <v>0.65240732383324496</v>
      </c>
      <c r="O28" s="72">
        <f t="shared" si="7"/>
        <v>1</v>
      </c>
      <c r="P28" s="68">
        <f t="shared" si="8"/>
        <v>531.98933131346712</v>
      </c>
      <c r="Q28" s="69">
        <f t="shared" si="0"/>
        <v>1</v>
      </c>
      <c r="R28" s="70">
        <f t="shared" si="1"/>
        <v>30.597743914768959</v>
      </c>
      <c r="S28" s="77">
        <f t="shared" si="2"/>
        <v>22.625965921636919</v>
      </c>
      <c r="T28" s="64">
        <f t="shared" si="9"/>
        <v>4.4606327045273719</v>
      </c>
      <c r="W28" s="58"/>
    </row>
    <row r="29" spans="1:23">
      <c r="H29" s="14">
        <f t="shared" si="3"/>
        <v>2043</v>
      </c>
      <c r="I29" s="79">
        <f t="shared" si="10"/>
        <v>60359.530903009094</v>
      </c>
      <c r="J29" s="50">
        <f t="shared" si="4"/>
        <v>207153.9100591272</v>
      </c>
      <c r="K29" s="50">
        <f>IF(H29=Year_Open_to_Traffic?,Calculations!$E$4,K28+(K28*M29))</f>
        <v>206608.76819055059</v>
      </c>
      <c r="L29" s="50">
        <f>IF(AND(H29&gt;=Year_Open_to_Traffic?, Calculations!H29&lt;Year_Open_to_Traffic?+'Inputs &amp; Outputs'!B$21), 1, 0)</f>
        <v>1</v>
      </c>
      <c r="M29" s="65">
        <f t="shared" si="11"/>
        <v>2.4723310203722759E-2</v>
      </c>
      <c r="N29" s="71">
        <f t="shared" si="12"/>
        <v>0.66853699247955489</v>
      </c>
      <c r="O29" s="72">
        <f t="shared" si="7"/>
        <v>1</v>
      </c>
      <c r="P29" s="68">
        <f t="shared" si="8"/>
        <v>545.14186857661116</v>
      </c>
      <c r="Q29" s="69">
        <f t="shared" si="0"/>
        <v>1</v>
      </c>
      <c r="R29" s="70">
        <f t="shared" si="1"/>
        <v>31.301492024808638</v>
      </c>
      <c r="S29" s="77">
        <f t="shared" si="2"/>
        <v>23.718617853779701</v>
      </c>
      <c r="T29" s="64">
        <f t="shared" si="9"/>
        <v>4.3701358315232168</v>
      </c>
      <c r="W29" s="58"/>
    </row>
    <row r="30" spans="1:23">
      <c r="H30" s="14">
        <f t="shared" si="3"/>
        <v>2044</v>
      </c>
      <c r="I30" s="79">
        <f t="shared" si="10"/>
        <v>61851.818309275375</v>
      </c>
      <c r="J30" s="50">
        <f t="shared" si="4"/>
        <v>212275.44043743308</v>
      </c>
      <c r="K30" s="50">
        <f>IF(H30=Year_Open_to_Traffic?,Calculations!$E$4,K29+(K29*M30))</f>
        <v>211716.82085733462</v>
      </c>
      <c r="L30" s="50">
        <f>IF(AND(H30&gt;=Year_Open_to_Traffic?, Calculations!H30&lt;Year_Open_to_Traffic?+'Inputs &amp; Outputs'!B$21), 1, 0)</f>
        <v>1</v>
      </c>
      <c r="M30" s="65">
        <f t="shared" si="11"/>
        <v>2.4723310203722759E-2</v>
      </c>
      <c r="N30" s="71">
        <f t="shared" si="12"/>
        <v>0.68506543992729074</v>
      </c>
      <c r="O30" s="72">
        <f t="shared" si="7"/>
        <v>1</v>
      </c>
      <c r="P30" s="68">
        <f t="shared" si="8"/>
        <v>558.61958009845694</v>
      </c>
      <c r="Q30" s="69">
        <f t="shared" si="0"/>
        <v>1</v>
      </c>
      <c r="R30" s="70">
        <f t="shared" si="1"/>
        <v>32.021426341379232</v>
      </c>
      <c r="S30" s="77">
        <f t="shared" si="2"/>
        <v>24.864036074395155</v>
      </c>
      <c r="T30" s="64">
        <f t="shared" si="9"/>
        <v>4.2814749500846752</v>
      </c>
      <c r="W30" s="58"/>
    </row>
    <row r="31" spans="1:23">
      <c r="H31" s="14">
        <f t="shared" si="3"/>
        <v>2045</v>
      </c>
      <c r="I31" s="79">
        <f t="shared" si="10"/>
        <v>63380.999999999891</v>
      </c>
      <c r="J31" s="50">
        <f t="shared" si="4"/>
        <v>217523.5919999996</v>
      </c>
      <c r="K31" s="50">
        <f>IF(H31=Year_Open_to_Traffic?,Calculations!$E$4,K30+(K30*M31))</f>
        <v>216951.1614947365</v>
      </c>
      <c r="L31" s="50">
        <f>IF(AND(H31&gt;=Year_Open_to_Traffic?, Calculations!H31&lt;Year_Open_to_Traffic?+'Inputs &amp; Outputs'!B$21), 1, 0)</f>
        <v>1</v>
      </c>
      <c r="M31" s="65">
        <f t="shared" si="11"/>
        <v>2.4723310203722759E-2</v>
      </c>
      <c r="N31" s="71">
        <f t="shared" si="12"/>
        <v>0.70200252530846297</v>
      </c>
      <c r="O31" s="72">
        <f t="shared" si="7"/>
        <v>1</v>
      </c>
      <c r="P31" s="68">
        <f t="shared" si="8"/>
        <v>572.43050526309526</v>
      </c>
      <c r="Q31" s="69">
        <f t="shared" si="0"/>
        <v>1</v>
      </c>
      <c r="R31" s="70">
        <f t="shared" si="1"/>
        <v>32.757919147230957</v>
      </c>
      <c r="S31" s="77">
        <f t="shared" si="2"/>
        <v>26.064768770255682</v>
      </c>
      <c r="T31" s="64">
        <f t="shared" si="9"/>
        <v>4.1946128117975059</v>
      </c>
      <c r="W31" s="58"/>
    </row>
    <row r="32" spans="1:23">
      <c r="H32" s="14">
        <f t="shared" si="3"/>
        <v>2046</v>
      </c>
      <c r="I32" s="79">
        <f t="shared" si="10"/>
        <v>64947.988124022042</v>
      </c>
      <c r="J32" s="50">
        <f t="shared" si="4"/>
        <v>222901.49524164363</v>
      </c>
      <c r="K32" s="50">
        <f>IF(H32=Year_Open_to_Traffic?,Calculations!$E$4,K31+(K31*M32))</f>
        <v>222314.91235942882</v>
      </c>
      <c r="L32" s="50">
        <f>IF(AND(H32&gt;=Year_Open_to_Traffic?, Calculations!H32&lt;Year_Open_to_Traffic?+'Inputs &amp; Outputs'!B$21), 1, 0)</f>
        <v>1</v>
      </c>
      <c r="M32" s="65">
        <f t="shared" si="11"/>
        <v>2.4723310203722759E-2</v>
      </c>
      <c r="N32" s="71">
        <f t="shared" si="12"/>
        <v>0.71935835150546079</v>
      </c>
      <c r="O32" s="72">
        <f t="shared" si="7"/>
        <v>1</v>
      </c>
      <c r="P32" s="68">
        <f t="shared" si="8"/>
        <v>586.58288221480325</v>
      </c>
      <c r="Q32" s="69">
        <f t="shared" si="0"/>
        <v>1</v>
      </c>
      <c r="R32" s="70">
        <f t="shared" si="1"/>
        <v>33.511351287617266</v>
      </c>
      <c r="S32" s="77">
        <f t="shared" si="2"/>
        <v>27.32348718503258</v>
      </c>
      <c r="T32" s="64">
        <f t="shared" si="9"/>
        <v>4.1095129239395733</v>
      </c>
      <c r="W32" s="58"/>
    </row>
    <row r="33" spans="8:23">
      <c r="H33" s="14">
        <f t="shared" si="3"/>
        <v>2047</v>
      </c>
      <c r="I33" s="79">
        <f t="shared" si="10"/>
        <v>66553.717381519935</v>
      </c>
      <c r="J33" s="50">
        <f t="shared" si="4"/>
        <v>228412.3580533764</v>
      </c>
      <c r="K33" s="50">
        <f>IF(H33=Year_Open_to_Traffic?,Calculations!$E$4,K32+(K32*M33))</f>
        <v>227811.27290060441</v>
      </c>
      <c r="L33" s="50">
        <f>IF(AND(H33&gt;=Year_Open_to_Traffic?, Calculations!H33&lt;Year_Open_to_Traffic?+'Inputs &amp; Outputs'!B$21), 1, 0)</f>
        <v>1</v>
      </c>
      <c r="M33" s="65">
        <f t="shared" si="11"/>
        <v>2.4723310203722759E-2</v>
      </c>
      <c r="N33" s="71">
        <f t="shared" si="12"/>
        <v>0.73714327117736889</v>
      </c>
      <c r="O33" s="72">
        <f t="shared" si="7"/>
        <v>1</v>
      </c>
      <c r="P33" s="68">
        <f t="shared" si="8"/>
        <v>601.08515277199331</v>
      </c>
      <c r="Q33" s="69">
        <f t="shared" si="0"/>
        <v>1</v>
      </c>
      <c r="R33" s="70">
        <f t="shared" si="1"/>
        <v>34.282112367232457</v>
      </c>
      <c r="S33" s="77">
        <f t="shared" si="2"/>
        <v>28.642991561950343</v>
      </c>
      <c r="T33" s="64">
        <f t="shared" si="9"/>
        <v>4.0261395341490243</v>
      </c>
      <c r="W33" s="58"/>
    </row>
    <row r="34" spans="8:23">
      <c r="H34" s="14">
        <f t="shared" si="3"/>
        <v>2048</v>
      </c>
      <c r="I34" s="79">
        <f t="shared" si="10"/>
        <v>68199.145581554141</v>
      </c>
      <c r="J34" s="50">
        <f t="shared" si="4"/>
        <v>234059.46763589382</v>
      </c>
      <c r="K34" s="50">
        <f>IF(H34=Year_Open_to_Traffic?,Calculations!$E$4,K33+(K33*M34))</f>
        <v>233443.521668431</v>
      </c>
      <c r="L34" s="50">
        <f>IF(AND(H34&gt;=Year_Open_to_Traffic?, Calculations!H34&lt;Year_Open_to_Traffic?+'Inputs &amp; Outputs'!B$21), 1, 0)</f>
        <v>1</v>
      </c>
      <c r="M34" s="65">
        <f t="shared" si="11"/>
        <v>2.4723310203722759E-2</v>
      </c>
      <c r="N34" s="71">
        <f t="shared" si="12"/>
        <v>0.75536789293527395</v>
      </c>
      <c r="O34" s="72">
        <f t="shared" si="7"/>
        <v>1</v>
      </c>
      <c r="P34" s="68">
        <f t="shared" si="8"/>
        <v>615.94596746281604</v>
      </c>
      <c r="Q34" s="69">
        <f t="shared" si="0"/>
        <v>1</v>
      </c>
      <c r="R34" s="70">
        <f t="shared" si="1"/>
        <v>35.070600951678806</v>
      </c>
      <c r="S34" s="77">
        <f t="shared" si="2"/>
        <v>30.026217373430978</v>
      </c>
      <c r="T34" s="64">
        <f t="shared" si="9"/>
        <v>3.9444576154046871</v>
      </c>
      <c r="W34" s="58"/>
    </row>
    <row r="35" spans="8:23">
      <c r="H35" s="14">
        <f t="shared" si="3"/>
        <v>2049</v>
      </c>
      <c r="I35" s="79">
        <f t="shared" si="10"/>
        <v>69885.254213395747</v>
      </c>
      <c r="J35" s="50">
        <f t="shared" si="4"/>
        <v>239846.19246037424</v>
      </c>
      <c r="K35" s="50">
        <f>IF(H35=Year_Open_to_Traffic?,Calculations!$E$4,K34+(K34*M35))</f>
        <v>239215.01826968908</v>
      </c>
      <c r="L35" s="50">
        <f>IF(AND(H35&gt;=Year_Open_to_Traffic?, Calculations!H35&lt;Year_Open_to_Traffic?+'Inputs &amp; Outputs'!B$21), 1, 0)</f>
        <v>1</v>
      </c>
      <c r="M35" s="65">
        <f t="shared" si="11"/>
        <v>2.4723310203722759E-2</v>
      </c>
      <c r="N35" s="71">
        <f t="shared" si="12"/>
        <v>0.77404308767024521</v>
      </c>
      <c r="O35" s="72">
        <f t="shared" si="7"/>
        <v>1</v>
      </c>
      <c r="P35" s="68">
        <f t="shared" si="8"/>
        <v>631.17419068515301</v>
      </c>
      <c r="Q35" s="69">
        <f t="shared" si="0"/>
        <v>1</v>
      </c>
      <c r="R35" s="70">
        <f t="shared" si="1"/>
        <v>35.877224773567399</v>
      </c>
      <c r="S35" s="77">
        <f t="shared" si="2"/>
        <v>31.476241851575157</v>
      </c>
      <c r="T35" s="64">
        <f t="shared" si="9"/>
        <v>3.864432851310351</v>
      </c>
      <c r="W35" s="58"/>
    </row>
    <row r="36" spans="8:23">
      <c r="H36" s="14">
        <f t="shared" si="3"/>
        <v>2050</v>
      </c>
      <c r="I36" s="79">
        <f t="shared" si="10"/>
        <v>71613.04903197955</v>
      </c>
      <c r="J36" s="50">
        <f t="shared" si="4"/>
        <v>245775.98427775386</v>
      </c>
      <c r="K36" s="50">
        <f>IF(H36=Year_Open_to_Traffic?,Calculations!$E$4,K35+(K35*M36))</f>
        <v>245129.2053717598</v>
      </c>
      <c r="L36" s="50">
        <f>IF(AND(H36&gt;=Year_Open_to_Traffic?, Calculations!H36&lt;Year_Open_to_Traffic?+'Inputs &amp; Outputs'!B$21), 1, 0)</f>
        <v>1</v>
      </c>
      <c r="M36" s="65">
        <f t="shared" si="11"/>
        <v>2.4723310203722759E-2</v>
      </c>
      <c r="N36" s="71">
        <f t="shared" si="12"/>
        <v>0.79317999503776404</v>
      </c>
      <c r="O36" s="72">
        <f t="shared" si="7"/>
        <v>1</v>
      </c>
      <c r="P36" s="68">
        <f t="shared" si="8"/>
        <v>646.77890599405509</v>
      </c>
      <c r="Q36" s="69">
        <f t="shared" si="0"/>
        <v>1</v>
      </c>
      <c r="R36" s="70">
        <f t="shared" si="1"/>
        <v>36.702400943359457</v>
      </c>
      <c r="S36" s="77">
        <f t="shared" si="2"/>
        <v>32.996290834006672</v>
      </c>
      <c r="T36" s="64">
        <f t="shared" si="9"/>
        <v>3.7860316216768903</v>
      </c>
      <c r="W36" s="58"/>
    </row>
    <row r="37" spans="8:23">
      <c r="H37" s="44"/>
      <c r="I37" s="44"/>
      <c r="J37" s="44"/>
      <c r="K37" s="44"/>
      <c r="L37" s="44"/>
      <c r="M37" s="60"/>
      <c r="N37" s="61"/>
      <c r="O37" s="44"/>
      <c r="P37" s="44"/>
      <c r="Q37" s="44"/>
      <c r="R37" s="44"/>
      <c r="S37" s="59"/>
      <c r="T37" s="64">
        <f>SUM(T4:T36)</f>
        <v>135.0977012955303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8EE25-FAA4-42A3-849C-B32615A8A513}"/>
</file>

<file path=customXml/itemProps2.xml><?xml version="1.0" encoding="utf-8"?>
<ds:datastoreItem xmlns:ds="http://schemas.openxmlformats.org/officeDocument/2006/customXml" ds:itemID="{B6687F3C-7D61-4654-94DA-200CE3C0442E}"/>
</file>

<file path=customXml/itemProps3.xml><?xml version="1.0" encoding="utf-8"?>
<ds:datastoreItem xmlns:ds="http://schemas.openxmlformats.org/officeDocument/2006/customXml" ds:itemID="{BC514384-14E7-4B7F-BE24-C6DAE271BD2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