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320" windowHeight="11640" tabRatio="763" firstSheet="3" activeTab="3"/>
  </bookViews>
  <sheets>
    <sheet name="Instructions" sheetId="8" r:id="rId1"/>
    <sheet name="ITS Delay Worksheet" sheetId="7" state="hidden" r:id="rId2"/>
    <sheet name="Emissions Reduction Worksheet" sheetId="5" state="hidden" r:id="rId3"/>
    <sheet name="Inputs &amp; Outputs" sheetId="11" r:id="rId4"/>
    <sheet name="Narrative" sheetId="21" r:id="rId5"/>
    <sheet name="Benefit Calculations" sheetId="19" r:id="rId6"/>
    <sheet name="Assumed Values" sheetId="2" r:id="rId7"/>
    <sheet name="Emission Factors - NOx" sheetId="17" r:id="rId8"/>
    <sheet name="Emission Factors - VOC" sheetId="18" r:id="rId9"/>
    <sheet name="Service Life" sheetId="20" r:id="rId10"/>
  </sheets>
  <externalReferences>
    <externalReference r:id="rId11"/>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<sst xmlns="http://schemas.openxmlformats.org/spreadsheetml/2006/main" count="266" uniqueCount="134">
  <si>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</si>
  <si>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</si>
  <si>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</si>
  <si>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</si>
  <si>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</si>
  <si>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</si>
  <si>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</si>
  <si>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</si>
  <si>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</si>
  <si>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</si>
  <si>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</si>
  <si>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</si>
  <si>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</si>
  <si>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</si>
  <si>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</si>
  <si>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</si>
  <si>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</si>
  <si>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</si>
  <si>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</si>
  <si>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</si>
  <si>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</si>
  <si>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</si>
  <si>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</si>
  <si>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</si>
  <si>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</si>
  <si>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</si>
  <si>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</si>
  <si>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</si>
  <si>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</si>
  <si>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</si>
  <si>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</si>
  <si>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</si>
  <si>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</si>
  <si>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</si>
  <si>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</si>
  <si>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</si>
  <si>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</si>
  <si>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</si>
  <si>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</si>
  <si>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</si>
  <si>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</si>
  <si>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</si>
  <si>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</si>
  <si>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</si>
  <si>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</si>
  <si>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</si>
  <si>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</si>
  <si>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</si>
  <si>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</si>
  <si>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</si>
  <si>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</si>
  <si>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</si>
  <si>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</si>
  <si>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</si>
  <si>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</si>
  <si>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</si>
  <si>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</si>
  <si>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</si>
  <si>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</si>
  <si>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</si>
  <si>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</si>
  <si>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</si>
  <si>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</si>
  <si>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</si>
  <si>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</si>
  <si>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</si>
  <si>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</si>
  <si>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</si>
  <si>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</si>
  <si>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</si>
  <si>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</si>
  <si>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</si>
  <si>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</si>
  <si>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</si>
  <si>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</si>
  <si>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</si>
  <si>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</si>
  <si>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</si>
  <si>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</si>
  <si>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</si>
  <si>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</si>
  <si>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</si>
  <si>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</si>
  <si>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</si>
  <si>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</si>
  <si>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</si>
  <si>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</si>
  <si>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</si>
  <si>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</si>
  <si>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</si>
  <si>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</si>
  <si>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</si>
  <si>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</si>
  <si>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</si>
  <si>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</si>
  <si>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</si>
  <si>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</si>
  <si>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</si>
  <si>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</si>
  <si>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</si>
  <si>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</si>
  <si>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</si>
  <si>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</si>
  <si>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</si>
  <si>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</si>
  <si>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</si>
  <si>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</si>
  <si>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</si>
  <si>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</si>
  <si>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</si>
  <si>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</si>
  <si>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</si>
  <si>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</si>
  <si>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</si>
  <si>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</si>
  <si>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</si>
  <si>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</si>
  <si>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</si>
  <si>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</si>
  <si>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</si>
  <si>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</si>
  <si>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</si>
  <si>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</si>
  <si>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</si>
  <si>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</si>
  <si>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</si>
  <si>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</si>
  <si>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</si>
  <si>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</si>
  <si>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Greenhouse Road Extension</t>
  </si>
  <si>
    <t>Criteria used in Roadway Emissions Benefits Spreadsheet</t>
  </si>
  <si>
    <t>Total traffic volume (daily) data were extracted for Fry Road, Barker Cypress Road and proposed Greenhouse Road for various scenarios of H-GAC models. Combined traffic volumes for existing and future years are utilized for estimating emission benefits.</t>
  </si>
  <si>
    <t>Vehicle miles traveled (VMT) and vehicle hours traveled (VHT) data were extracted from Year 2025 No-Build condition models for Fry Road, Barker Cypress Road. Average Speed for each roadway was estimated by dividing sum of VMT over sum of VHT. All data are averaged to obtain Average Roadway Speed before Improvement (14 mph).</t>
  </si>
  <si>
    <t>Vehicle miles traveled (VMT) and vehicle hours traveled (VHT) data were extracted from Year 2025 Build condition models for Fry Road, Barker Cypress Road and proposed Greenhouse Road. Average Speed for each roadway was estimated by dividing sum of VMT over sum of VHT. All data are averaged to obtain Average Roadway Speed After Improvement (22 mph).</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</si>
</sst>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2"/>
      <color theme="1"/>
      <name val="Calibri"/>
      <family val="2"/>
      <scheme val="minor"/>
    </font>
    <font>
      <b/>
      <u/>
      <sz val="12"/>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8">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0" fillId="0" borderId="0" xfId="0" applyAlignment="1">
      <alignment vertical="center" wrapText="1"/>
    </xf>
    <xf numFmtId="0" fontId="10" fillId="0" borderId="0" xfId="0" applyFont="1" applyAlignment="1">
      <alignment vertical="center" wrapText="1"/>
    </xf>
    <xf numFmtId="0" fontId="11" fillId="0" borderId="0" xfId="0" applyFont="1" applyAlignment="1">
      <alignmen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moser.tti.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5" t="s">
        <v>29</v>
      </c>
      <c r="E6" s="126"/>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5" t="s">
        <v>29</v>
      </c>
      <c r="E6" s="126"/>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5" t="s">
        <v>30</v>
      </c>
      <c r="E8" s="126"/>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F12" sqref="F12"/>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30" x14ac:dyDescent="0.25">
      <c r="A6" s="6" t="s">
        <v>8</v>
      </c>
      <c r="B6" s="121"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20</v>
      </c>
    </row>
    <row r="17" spans="1:3" x14ac:dyDescent="0.25">
      <c r="A17" s="107" t="s">
        <v>95</v>
      </c>
      <c r="B17" s="57">
        <v>14</v>
      </c>
    </row>
    <row r="18" spans="1:3" x14ac:dyDescent="0.25">
      <c r="A18" s="107" t="s">
        <v>96</v>
      </c>
      <c r="B18" s="57">
        <v>22</v>
      </c>
    </row>
    <row r="19" spans="1:3" x14ac:dyDescent="0.25">
      <c r="A19" s="96" t="s">
        <v>97</v>
      </c>
      <c r="B19" s="97">
        <f>VLOOKUP(B14,'Service Life'!C6:D8,2,FALSE)</f>
        <v>20</v>
      </c>
    </row>
    <row r="21" spans="1:3" x14ac:dyDescent="0.25">
      <c r="A21" s="102" t="s">
        <v>89</v>
      </c>
    </row>
    <row r="22" spans="1:3" ht="20.25" customHeight="1" x14ac:dyDescent="0.25">
      <c r="A22" s="107" t="s">
        <v>90</v>
      </c>
      <c r="B22" s="119">
        <v>41450</v>
      </c>
    </row>
    <row r="23" spans="1:3" ht="30" x14ac:dyDescent="0.25">
      <c r="A23" s="118" t="s">
        <v>101</v>
      </c>
      <c r="B23" s="120">
        <v>92105</v>
      </c>
    </row>
    <row r="24" spans="1:3" ht="30" x14ac:dyDescent="0.25">
      <c r="A24" s="118" t="s">
        <v>102</v>
      </c>
      <c r="B24" s="120">
        <v>112342</v>
      </c>
    </row>
    <row r="27" spans="1:3" ht="18.75" x14ac:dyDescent="0.3">
      <c r="A27" s="100" t="s">
        <v>55</v>
      </c>
      <c r="B27" s="101"/>
    </row>
    <row r="29" spans="1:3" x14ac:dyDescent="0.25">
      <c r="A29" s="108" t="s">
        <v>53</v>
      </c>
    </row>
    <row r="30" spans="1:3" x14ac:dyDescent="0.25">
      <c r="A30" s="105" t="s">
        <v>112</v>
      </c>
      <c r="B30" s="114">
        <f>'Benefit Calculations'!M37</f>
        <v>157943.66315098203</v>
      </c>
    </row>
    <row r="31" spans="1:3" x14ac:dyDescent="0.25">
      <c r="A31" s="105" t="s">
        <v>113</v>
      </c>
      <c r="B31" s="114">
        <f>'Benefit Calculations'!Q37</f>
        <v>19837.877945644846</v>
      </c>
      <c r="C31" s="109"/>
    </row>
    <row r="32" spans="1:3" x14ac:dyDescent="0.25">
      <c r="A32" s="110"/>
      <c r="B32" s="111"/>
      <c r="C32" s="109"/>
    </row>
    <row r="33" spans="1:9" x14ac:dyDescent="0.25">
      <c r="A33" s="108" t="s">
        <v>94</v>
      </c>
      <c r="B33" s="111"/>
      <c r="C33" s="109"/>
    </row>
    <row r="34" spans="1:9" x14ac:dyDescent="0.25">
      <c r="A34" s="105" t="s">
        <v>114</v>
      </c>
      <c r="B34" s="114">
        <f>$B$30+$B$31</f>
        <v>177781.54109662687</v>
      </c>
      <c r="C34" s="109"/>
    </row>
    <row r="35" spans="1:9" x14ac:dyDescent="0.25">
      <c r="I35" s="112"/>
    </row>
    <row r="36" spans="1:9" x14ac:dyDescent="0.25">
      <c r="A36" s="108" t="s">
        <v>107</v>
      </c>
    </row>
    <row r="37" spans="1:9" x14ac:dyDescent="0.25">
      <c r="A37" s="105" t="s">
        <v>116</v>
      </c>
      <c r="B37" s="115">
        <f>'Benefit Calculations'!K37</f>
        <v>50.481394332007483</v>
      </c>
    </row>
    <row r="38" spans="1:9" x14ac:dyDescent="0.25">
      <c r="A38" s="105" t="s">
        <v>117</v>
      </c>
      <c r="B38" s="115">
        <f>'Benefit Calculations'!O37</f>
        <v>24.989273682895412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zoomScale="55" zoomScaleNormal="55" workbookViewId="0">
      <selection activeCell="B9" sqref="B9"/>
    </sheetView>
  </sheetViews>
  <sheetFormatPr defaultRowHeight="15" x14ac:dyDescent="0.25"/>
  <cols>
    <col min="2" max="2" width="239.85546875" customWidth="1"/>
  </cols>
  <sheetData>
    <row r="1" spans="1:42" s="49" customFormat="1" x14ac:dyDescent="0.25"/>
    <row r="2" spans="1:42" ht="39.950000000000003" customHeight="1" x14ac:dyDescent="0.25">
      <c r="A2" s="122"/>
      <c r="B2" s="124" t="s">
        <v>130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row>
    <row r="3" spans="1:42" ht="49.5" customHeight="1" x14ac:dyDescent="0.25">
      <c r="A3" s="122"/>
      <c r="B3" s="123" t="s">
        <v>131</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row>
    <row r="4" spans="1:42" s="49" customFormat="1" ht="18.75" customHeight="1" x14ac:dyDescent="0.25">
      <c r="A4" s="122"/>
      <c r="B4" s="123"/>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1:42" ht="61.5" customHeight="1" x14ac:dyDescent="0.25">
      <c r="A5" s="122"/>
      <c r="B5" s="123" t="s">
        <v>132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row>
    <row r="6" spans="1:42" s="49" customFormat="1" ht="25.5" customHeight="1" x14ac:dyDescent="0.25">
      <c r="A6" s="122"/>
      <c r="B6" s="123"/>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row>
    <row r="7" spans="1:42" ht="66" customHeight="1" x14ac:dyDescent="0.25">
      <c r="A7" s="122"/>
      <c r="B7" s="123" t="s">
        <v>133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row>
    <row r="8" spans="1:42" ht="39.950000000000003" customHeight="1" x14ac:dyDescent="0.25">
      <c r="A8" s="122"/>
      <c r="B8" s="123"/>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row>
    <row r="9" spans="1:42" ht="39.950000000000003" customHeight="1" x14ac:dyDescent="0.25">
      <c r="A9" s="122"/>
      <c r="B9" s="123"/>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row>
    <row r="10" spans="1:42" ht="39.950000000000003" customHeight="1" x14ac:dyDescent="0.25">
      <c r="A10" s="122"/>
      <c r="B10" s="123"/>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row>
    <row r="11" spans="1:42" ht="39.950000000000003" customHeight="1" x14ac:dyDescent="0.25">
      <c r="A11" s="122"/>
      <c r="B11" s="123"/>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row>
    <row r="12" spans="1:42" ht="39.950000000000003" customHeight="1" x14ac:dyDescent="0.25">
      <c r="A12" s="122"/>
      <c r="B12" s="123"/>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row>
    <row r="13" spans="1:42" ht="39.950000000000003" customHeight="1" x14ac:dyDescent="0.25">
      <c r="A13" s="122"/>
      <c r="B13" s="123"/>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row>
    <row r="14" spans="1:42" ht="39.950000000000003" customHeight="1" x14ac:dyDescent="0.25">
      <c r="A14" s="122"/>
      <c r="B14" s="123"/>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row>
    <row r="15" spans="1:42" ht="39.950000000000003" customHeight="1" x14ac:dyDescent="0.25">
      <c r="A15" s="122"/>
      <c r="B15" s="123"/>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row>
    <row r="16" spans="1:42" ht="39.950000000000003" customHeight="1" x14ac:dyDescent="0.25">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row>
    <row r="17" spans="1:42" ht="39.950000000000003" customHeight="1" x14ac:dyDescent="0.25">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row>
    <row r="18" spans="1:42" ht="39.950000000000003" customHeight="1" x14ac:dyDescent="0.25">
      <c r="A18" s="12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row>
    <row r="19" spans="1:42" ht="39.950000000000003" customHeight="1" x14ac:dyDescent="0.2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2" ht="39.950000000000003" customHeight="1" x14ac:dyDescent="0.25">
      <c r="A20" s="12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row>
    <row r="21" spans="1:42" ht="39.950000000000003" customHeight="1" x14ac:dyDescent="0.25">
      <c r="A21" s="12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row>
    <row r="22" spans="1:42" ht="39.950000000000003" customHeight="1" x14ac:dyDescent="0.25">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row>
    <row r="23" spans="1:42" ht="39.950000000000003" customHeight="1" x14ac:dyDescent="0.25">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row>
    <row r="24" spans="1:42" ht="39.950000000000003" customHeight="1" x14ac:dyDescent="0.25">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row>
    <row r="25" spans="1:42" ht="39.950000000000003" customHeight="1" x14ac:dyDescent="0.25">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row>
    <row r="26" spans="1:42" ht="39.950000000000003" customHeight="1" x14ac:dyDescent="0.25">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1:42" ht="39.950000000000003" customHeight="1" x14ac:dyDescent="0.25">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row>
    <row r="28" spans="1:42" ht="39.950000000000003" customHeight="1" x14ac:dyDescent="0.25">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row>
    <row r="29" spans="1:42" ht="39.950000000000003" customHeight="1" x14ac:dyDescent="0.25">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row>
    <row r="30" spans="1:42" ht="39.950000000000003" customHeight="1" x14ac:dyDescent="0.25">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row>
    <row r="31" spans="1:42" ht="39.950000000000003" customHeight="1" x14ac:dyDescent="0.25">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row>
    <row r="32" spans="1:42" ht="39.950000000000003" customHeight="1" x14ac:dyDescent="0.2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row>
    <row r="33" spans="1:42" ht="39.950000000000003" customHeight="1" x14ac:dyDescent="0.25">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row>
    <row r="34" spans="1:42" ht="39.950000000000003" customHeight="1" x14ac:dyDescent="0.2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row>
    <row r="35" spans="1:42" ht="39.950000000000003" customHeight="1" x14ac:dyDescent="0.25">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row>
    <row r="36" spans="1:42" ht="39.950000000000003" customHeight="1" x14ac:dyDescent="0.25">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row>
    <row r="37" spans="1:42" ht="39.950000000000003" customHeight="1" x14ac:dyDescent="0.25">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row r="38" spans="1:42" ht="39.950000000000003" customHeight="1" x14ac:dyDescent="0.25">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7.6345100998899906E-2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1.9851200282599998E-2</v>
      </c>
      <c r="F4" s="70">
        <v>2018</v>
      </c>
      <c r="G4" s="80">
        <f>'Inputs &amp; Outputs'!B22</f>
        <v>41450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7.1687102317799997E-2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1.7545400187400001E-2</v>
      </c>
      <c r="F5" s="70">
        <f t="shared" ref="F5:F36" si="2">F4+1</f>
        <v>2019</v>
      </c>
      <c r="G5" s="80">
        <f>G4+G4*H5</f>
        <v>46458.104661121819</v>
      </c>
      <c r="H5" s="79">
        <f>$C$9</f>
        <v>0.12082279037688348</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52071.302501899852</v>
      </c>
      <c r="H6" s="79">
        <f t="shared" ref="H6:H11" si="7">$C$9</f>
        <v>0.12082279037688348</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58362.702568738183</v>
      </c>
      <c r="H7" s="79">
        <f t="shared" si="7"/>
        <v>0.12082279037688348</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65414.247147029237</v>
      </c>
      <c r="H8" s="79">
        <f t="shared" si="7"/>
        <v>0.12082279037688348</v>
      </c>
      <c r="I8" s="70">
        <f>IF(AND(F8&gt;='Inputs &amp; Outputs'!B$13,F8&lt;'Inputs &amp; Outputs'!B$13+'Inputs &amp; Outputs'!B$19),1,0)</f>
        <v>1</v>
      </c>
      <c r="J8" s="71">
        <f>I8*'Inputs &amp; Outputs'!B$16*'Benefit Calculations'!G8*('Benefit Calculations'!C$4-'Benefit Calculations'!C$5)</f>
        <v>6093.9895387201141</v>
      </c>
      <c r="K8" s="89">
        <f t="shared" si="3"/>
        <v>1.7465445599428886</v>
      </c>
      <c r="L8" s="72">
        <f>K8*'Assumed Values'!$C$8</f>
        <v>13113.056556051208</v>
      </c>
      <c r="M8" s="73">
        <f t="shared" si="0"/>
        <v>10003.888061919877</v>
      </c>
      <c r="N8" s="88">
        <f>I8*'Inputs &amp; Outputs'!B$16*'Benefit Calculations'!G8*('Benefit Calculations'!D$4-'Benefit Calculations'!D$5)</f>
        <v>3016.6435459811237</v>
      </c>
      <c r="O8" s="89">
        <f t="shared" si="4"/>
        <v>0.86457358369977</v>
      </c>
      <c r="P8" s="72">
        <f>ABS(O8*'Assumed Values'!$C$7)</f>
        <v>1647.0126769480619</v>
      </c>
      <c r="Q8" s="73">
        <f t="shared" si="1"/>
        <v>1256.4980854252537</v>
      </c>
      <c r="T8" s="85">
        <f t="shared" si="5"/>
        <v>1.5844372800672297</v>
      </c>
      <c r="U8" s="86">
        <f>T8*'Assumed Values'!$D$8</f>
        <v>0</v>
      </c>
    </row>
    <row r="9" spans="2:21" x14ac:dyDescent="0.25">
      <c r="B9" s="16" t="s">
        <v>104</v>
      </c>
      <c r="C9" s="67">
        <f>('Inputs &amp; Outputs'!B23/'Inputs &amp; Outputs'!B22)^(1/(2025-2018))-1</f>
        <v>0.12082279037688348</v>
      </c>
      <c r="F9" s="70">
        <f t="shared" si="2"/>
        <v>2023</v>
      </c>
      <c r="G9" s="80">
        <f t="shared" si="6"/>
        <v>73317.779017736393</v>
      </c>
      <c r="H9" s="79">
        <f t="shared" si="7"/>
        <v>0.12082279037688348</v>
      </c>
      <c r="I9" s="70">
        <f>IF(AND(F9&gt;='Inputs &amp; Outputs'!B$13,F9&lt;'Inputs &amp; Outputs'!B$13+'Inputs &amp; Outputs'!B$19),1,0)</f>
        <v>1</v>
      </c>
      <c r="J9" s="71">
        <f>I9*'Inputs &amp; Outputs'!B$16*'Benefit Calculations'!G9*('Benefit Calculations'!C$4-'Benefit Calculations'!C$5)</f>
        <v>6830.2823593158137</v>
      </c>
      <c r="K9" s="89">
        <f t="shared" si="3"/>
        <v>1.9575669471927541</v>
      </c>
      <c r="L9" s="72">
        <f>K9*'Assumed Values'!$C$8</f>
        <v>14697.412639523198</v>
      </c>
      <c r="M9" s="73">
        <f t="shared" si="0"/>
        <v>10479.052086148622</v>
      </c>
      <c r="N9" s="88">
        <f>I9*'Inputs &amp; Outputs'!B$16*'Benefit Calculations'!G9*('Benefit Calculations'!D$4-'Benefit Calculations'!D$5)</f>
        <v>3381.122836778979</v>
      </c>
      <c r="O9" s="89">
        <f t="shared" si="4"/>
        <v>0.96903377656851808</v>
      </c>
      <c r="P9" s="72">
        <f>ABS(O9*'Assumed Values'!$C$7)</f>
        <v>1846.0093443630269</v>
      </c>
      <c r="Q9" s="73">
        <f t="shared" si="1"/>
        <v>1316.179149728546</v>
      </c>
      <c r="T9" s="85">
        <f t="shared" si="5"/>
        <v>1.7758734134221117</v>
      </c>
      <c r="U9" s="86">
        <f>T9*'Assumed Values'!$D$8</f>
        <v>0</v>
      </c>
    </row>
    <row r="10" spans="2:21" x14ac:dyDescent="0.25">
      <c r="B10" s="16" t="s">
        <v>105</v>
      </c>
      <c r="C10" s="67">
        <f>('Inputs &amp; Outputs'!B24/'Inputs &amp; Outputs'!B23)^(1/(2045-2020))-1</f>
        <v>7.9763855868368871E-3</v>
      </c>
      <c r="F10" s="70">
        <f t="shared" si="2"/>
        <v>2024</v>
      </c>
      <c r="G10" s="80">
        <f t="shared" si="6"/>
        <v>82176.23766289503</v>
      </c>
      <c r="H10" s="79">
        <f t="shared" si="7"/>
        <v>0.12082279037688348</v>
      </c>
      <c r="I10" s="70">
        <f>IF(AND(F10&gt;='Inputs &amp; Outputs'!B$13,F10&lt;'Inputs &amp; Outputs'!B$13+'Inputs &amp; Outputs'!B$19),1,0)</f>
        <v>1</v>
      </c>
      <c r="J10" s="71">
        <f>I10*'Inputs &amp; Outputs'!B$16*'Benefit Calculations'!G10*('Benefit Calculations'!C$4-'Benefit Calculations'!C$5)</f>
        <v>7655.536133030354</v>
      </c>
      <c r="K10" s="89">
        <f t="shared" si="3"/>
        <v>2.1940856481021402</v>
      </c>
      <c r="L10" s="72">
        <f>K10*'Assumed Values'!$C$8</f>
        <v>16473.19504595087</v>
      </c>
      <c r="M10" s="73">
        <f t="shared" si="0"/>
        <v>10976.78542028206</v>
      </c>
      <c r="N10" s="88">
        <f>I10*'Inputs &amp; Outputs'!B$16*'Benefit Calculations'!G10*('Benefit Calculations'!D$4-'Benefit Calculations'!D$5)</f>
        <v>3789.639532525619</v>
      </c>
      <c r="O10" s="89">
        <f t="shared" si="4"/>
        <v>1.0861151414229757</v>
      </c>
      <c r="P10" s="72">
        <f>ABS(O10*'Assumed Values'!$C$7)</f>
        <v>2069.0493444107688</v>
      </c>
      <c r="Q10" s="73">
        <f t="shared" si="1"/>
        <v>1378.694941340769</v>
      </c>
      <c r="T10" s="85">
        <f t="shared" si="5"/>
        <v>1.9904393945878922</v>
      </c>
      <c r="U10" s="86">
        <f>T10*'Assumed Values'!$D$8</f>
        <v>0</v>
      </c>
    </row>
    <row r="11" spans="2:21" x14ac:dyDescent="0.25">
      <c r="B11" s="16" t="s">
        <v>106</v>
      </c>
      <c r="C11" s="67">
        <f>('Inputs &amp; Outputs'!B24/'Inputs &amp; Outputs'!B22)^(1/(2045-2018))-1</f>
        <v>3.7618459833710371E-2</v>
      </c>
      <c r="F11" s="70">
        <f t="shared" si="2"/>
        <v>2025</v>
      </c>
      <c r="G11" s="80">
        <f>'Inputs &amp; Outputs'!$B$23</f>
        <v>92105</v>
      </c>
      <c r="H11" s="79">
        <f t="shared" si="7"/>
        <v>0.12082279037688348</v>
      </c>
      <c r="I11" s="70">
        <f>IF(AND(F11&gt;='Inputs &amp; Outputs'!B$13,F11&lt;'Inputs &amp; Outputs'!B$13+'Inputs &amp; Outputs'!B$19),1,0)</f>
        <v>1</v>
      </c>
      <c r="J11" s="71">
        <f>I11*'Inputs &amp; Outputs'!B$16*'Benefit Calculations'!G11*('Benefit Calculations'!C$4-'Benefit Calculations'!C$5)</f>
        <v>8580.499370454143</v>
      </c>
      <c r="K11" s="89">
        <f t="shared" si="3"/>
        <v>2.4591811984317156</v>
      </c>
      <c r="L11" s="72">
        <f>K11*'Assumed Values'!$C$8</f>
        <v>18463.532437825321</v>
      </c>
      <c r="M11" s="73">
        <f t="shared" si="0"/>
        <v>11498.160059933494</v>
      </c>
      <c r="N11" s="88">
        <f>I11*'Inputs &amp; Outputs'!B$16*'Benefit Calculations'!G11*('Benefit Calculations'!D$4-'Benefit Calculations'!D$5)</f>
        <v>4247.5143553679154</v>
      </c>
      <c r="O11" s="89">
        <f t="shared" si="4"/>
        <v>1.2173426034802839</v>
      </c>
      <c r="P11" s="72">
        <f>ABS(O11*'Assumed Values'!$C$7)</f>
        <v>2319.0376596299407</v>
      </c>
      <c r="Q11" s="73">
        <f t="shared" si="1"/>
        <v>1444.1801039551917</v>
      </c>
      <c r="T11" s="85">
        <f t="shared" si="5"/>
        <v>2.2309298363180772</v>
      </c>
      <c r="U11" s="86">
        <f>T11*'Assumed Values'!$D$8</f>
        <v>0</v>
      </c>
    </row>
    <row r="12" spans="2:21" x14ac:dyDescent="0.25">
      <c r="B12" s="27"/>
      <c r="C12" s="68"/>
      <c r="F12" s="70">
        <f t="shared" si="2"/>
        <v>2026</v>
      </c>
      <c r="G12" s="80">
        <f t="shared" si="6"/>
        <v>92839.664994475606</v>
      </c>
      <c r="H12" s="79">
        <f>$C$10</f>
        <v>7.9763855868368871E-3</v>
      </c>
      <c r="I12" s="70">
        <f>IF(AND(F12&gt;='Inputs &amp; Outputs'!B$13,F12&lt;'Inputs &amp; Outputs'!B$13+'Inputs &amp; Outputs'!B$19),1,0)</f>
        <v>1</v>
      </c>
      <c r="J12" s="71">
        <f>I12*'Inputs &amp; Outputs'!B$16*'Benefit Calculations'!G12*('Benefit Calculations'!C$4-'Benefit Calculations'!C$5)</f>
        <v>8648.9407419604959</v>
      </c>
      <c r="K12" s="89">
        <f t="shared" si="3"/>
        <v>2.4787965758983064</v>
      </c>
      <c r="L12" s="72">
        <f>K12*'Assumed Values'!$C$8</f>
        <v>18610.804691844485</v>
      </c>
      <c r="M12" s="73">
        <f t="shared" si="0"/>
        <v>10831.657773935225</v>
      </c>
      <c r="N12" s="88">
        <f>I12*'Inputs &amp; Outputs'!B$16*'Benefit Calculations'!G12*('Benefit Calculations'!D$4-'Benefit Calculations'!D$5)</f>
        <v>4281.3941676519544</v>
      </c>
      <c r="O12" s="89">
        <f t="shared" si="4"/>
        <v>1.2270525974769266</v>
      </c>
      <c r="P12" s="72">
        <f>ABS(O12*'Assumed Values'!$C$7)</f>
        <v>2337.5351981935451</v>
      </c>
      <c r="Q12" s="73">
        <f t="shared" si="1"/>
        <v>1360.4667675898847</v>
      </c>
      <c r="T12" s="85">
        <f t="shared" si="5"/>
        <v>2.248724592909729</v>
      </c>
      <c r="U12" s="86">
        <f>T12*'Assumed Values'!$D$8</f>
        <v>0</v>
      </c>
    </row>
    <row r="13" spans="2:21" x14ac:dyDescent="0.25">
      <c r="B13" s="27"/>
      <c r="C13" s="68"/>
      <c r="F13" s="70">
        <f t="shared" si="2"/>
        <v>2027</v>
      </c>
      <c r="G13" s="80">
        <f t="shared" si="6"/>
        <v>93580.189960224307</v>
      </c>
      <c r="H13" s="79">
        <f t="shared" ref="H13:H36" si="8">$C$10</f>
        <v>7.9763855868368871E-3</v>
      </c>
      <c r="I13" s="70">
        <f>IF(AND(F13&gt;='Inputs &amp; Outputs'!B$13,F13&lt;'Inputs &amp; Outputs'!B$13+'Inputs &amp; Outputs'!B$19),1,0)</f>
        <v>1</v>
      </c>
      <c r="J13" s="71">
        <f>I13*'Inputs &amp; Outputs'!B$16*'Benefit Calculations'!G13*('Benefit Calculations'!C$4-'Benefit Calculations'!C$5)</f>
        <v>8717.928028236076</v>
      </c>
      <c r="K13" s="89">
        <f t="shared" si="3"/>
        <v>2.4985684131790018</v>
      </c>
      <c r="L13" s="72">
        <f>K13*'Assumed Values'!$C$8</f>
        <v>18759.251646147946</v>
      </c>
      <c r="M13" s="73">
        <f t="shared" si="0"/>
        <v>10203.789955967091</v>
      </c>
      <c r="N13" s="88">
        <f>I13*'Inputs &amp; Outputs'!B$16*'Benefit Calculations'!G13*('Benefit Calculations'!D$4-'Benefit Calculations'!D$5)</f>
        <v>4315.5442183823807</v>
      </c>
      <c r="O13" s="89">
        <f t="shared" si="4"/>
        <v>1.2368400421297321</v>
      </c>
      <c r="P13" s="72">
        <f>ABS(O13*'Assumed Values'!$C$7)</f>
        <v>2356.1802802571397</v>
      </c>
      <c r="Q13" s="73">
        <f t="shared" si="1"/>
        <v>1281.6059580432327</v>
      </c>
      <c r="T13" s="85">
        <f t="shared" si="5"/>
        <v>2.2666612873413796</v>
      </c>
      <c r="U13" s="86">
        <f>T13*'Assumed Values'!$D$8</f>
        <v>0</v>
      </c>
    </row>
    <row r="14" spans="2:21" x14ac:dyDescent="0.25">
      <c r="B14" s="27"/>
      <c r="C14" s="68"/>
      <c r="F14" s="70">
        <f t="shared" si="2"/>
        <v>2028</v>
      </c>
      <c r="G14" s="80">
        <f t="shared" si="6"/>
        <v>94326.621638636498</v>
      </c>
      <c r="H14" s="79">
        <f t="shared" si="8"/>
        <v>7.9763855868368871E-3</v>
      </c>
      <c r="I14" s="70">
        <f>IF(AND(F14&gt;='Inputs &amp; Outputs'!B$13,F14&lt;'Inputs &amp; Outputs'!B$13+'Inputs &amp; Outputs'!B$19),1,0)</f>
        <v>1</v>
      </c>
      <c r="J14" s="71">
        <f>I14*'Inputs &amp; Outputs'!B$16*'Benefit Calculations'!G14*('Benefit Calculations'!C$4-'Benefit Calculations'!C$5)</f>
        <v>8787.4655837075788</v>
      </c>
      <c r="K14" s="89">
        <f t="shared" si="3"/>
        <v>2.5184979582576084</v>
      </c>
      <c r="L14" s="72">
        <f>K14*'Assumed Values'!$C$8</f>
        <v>18908.882670598123</v>
      </c>
      <c r="M14" s="73">
        <f t="shared" si="0"/>
        <v>9612.3171206569878</v>
      </c>
      <c r="N14" s="88">
        <f>I14*'Inputs &amp; Outputs'!B$16*'Benefit Calculations'!G14*('Benefit Calculations'!D$4-'Benefit Calculations'!D$5)</f>
        <v>4349.9666630852435</v>
      </c>
      <c r="O14" s="89">
        <f t="shared" si="4"/>
        <v>1.2467055552149986</v>
      </c>
      <c r="P14" s="72">
        <f>ABS(O14*'Assumed Values'!$C$7)</f>
        <v>2374.9740826845723</v>
      </c>
      <c r="Q14" s="73">
        <f t="shared" si="1"/>
        <v>1207.316393771003</v>
      </c>
      <c r="T14" s="85">
        <f t="shared" si="5"/>
        <v>2.2847410517639704</v>
      </c>
      <c r="U14" s="86">
        <f>T14*'Assumed Values'!$D$8</f>
        <v>0</v>
      </c>
    </row>
    <row r="15" spans="2:21" x14ac:dyDescent="0.25">
      <c r="B15" s="27"/>
      <c r="C15" s="69"/>
      <c r="F15" s="70">
        <f t="shared" si="2"/>
        <v>2029</v>
      </c>
      <c r="G15" s="80">
        <f t="shared" si="6"/>
        <v>95079.007143929935</v>
      </c>
      <c r="H15" s="79">
        <f t="shared" si="8"/>
        <v>7.9763855868368871E-3</v>
      </c>
      <c r="I15" s="70">
        <f>IF(AND(F15&gt;='Inputs &amp; Outputs'!B$13,F15&lt;'Inputs &amp; Outputs'!B$13+'Inputs &amp; Outputs'!B$19),1,0)</f>
        <v>1</v>
      </c>
      <c r="J15" s="71">
        <f>I15*'Inputs &amp; Outputs'!B$16*'Benefit Calculations'!G15*('Benefit Calculations'!C$4-'Benefit Calculations'!C$5)</f>
        <v>8857.5577975342894</v>
      </c>
      <c r="K15" s="89">
        <f t="shared" si="3"/>
        <v>2.538586469072333</v>
      </c>
      <c r="L15" s="72">
        <f>K15*'Assumed Values'!$C$8</f>
        <v>19059.707209795077</v>
      </c>
      <c r="M15" s="73">
        <f t="shared" si="0"/>
        <v>9055.1295966301896</v>
      </c>
      <c r="N15" s="88">
        <f>I15*'Inputs &amp; Outputs'!B$16*'Benefit Calculations'!G15*('Benefit Calculations'!D$4-'Benefit Calculations'!D$5)</f>
        <v>4384.663674479898</v>
      </c>
      <c r="O15" s="89">
        <f t="shared" si="4"/>
        <v>1.256649759436645</v>
      </c>
      <c r="P15" s="72">
        <f>ABS(O15*'Assumed Values'!$C$7)</f>
        <v>2393.9177917268089</v>
      </c>
      <c r="Q15" s="73">
        <f t="shared" si="1"/>
        <v>1137.3330979934858</v>
      </c>
      <c r="T15" s="85">
        <f t="shared" si="5"/>
        <v>2.3029650273589151</v>
      </c>
      <c r="U15" s="86">
        <f>T15*'Assumed Values'!$D$8</f>
        <v>0</v>
      </c>
    </row>
    <row r="16" spans="2:21" x14ac:dyDescent="0.25">
      <c r="B16" s="27"/>
      <c r="C16" s="69"/>
      <c r="F16" s="70">
        <f t="shared" si="2"/>
        <v>2030</v>
      </c>
      <c r="G16" s="80">
        <f t="shared" si="6"/>
        <v>95837.393966123534</v>
      </c>
      <c r="H16" s="79">
        <f t="shared" si="8"/>
        <v>7.9763855868368871E-3</v>
      </c>
      <c r="I16" s="70">
        <f>IF(AND(F16&gt;='Inputs &amp; Outputs'!B$13,F16&lt;'Inputs &amp; Outputs'!B$13+'Inputs &amp; Outputs'!B$19),1,0)</f>
        <v>1</v>
      </c>
      <c r="J16" s="71">
        <f>I16*'Inputs &amp; Outputs'!B$16*'Benefit Calculations'!G16*('Benefit Calculations'!C$4-'Benefit Calculations'!C$5)</f>
        <v>8928.2090938851161</v>
      </c>
      <c r="K16" s="89">
        <f t="shared" si="3"/>
        <v>2.5588352135951804</v>
      </c>
      <c r="L16" s="72">
        <f>K16*'Assumed Values'!$C$8</f>
        <v>19211.734783672615</v>
      </c>
      <c r="M16" s="73">
        <f t="shared" si="0"/>
        <v>8530.2400017118616</v>
      </c>
      <c r="N16" s="88">
        <f>I16*'Inputs &amp; Outputs'!B$16*'Benefit Calculations'!G16*('Benefit Calculations'!D$4-'Benefit Calculations'!D$5)</f>
        <v>4419.6374426161456</v>
      </c>
      <c r="O16" s="89">
        <f t="shared" si="4"/>
        <v>1.2666732824655174</v>
      </c>
      <c r="P16" s="72">
        <f>ABS(O16*'Assumed Values'!$C$7)</f>
        <v>2413.0126030968104</v>
      </c>
      <c r="Q16" s="73">
        <f t="shared" si="1"/>
        <v>1071.4064535736015</v>
      </c>
      <c r="T16" s="85">
        <f t="shared" si="5"/>
        <v>2.3213343644101303</v>
      </c>
      <c r="U16" s="86">
        <f>T16*'Assumed Values'!$D$8</f>
        <v>0</v>
      </c>
    </row>
    <row r="17" spans="2:21" x14ac:dyDescent="0.25">
      <c r="B17" s="27"/>
      <c r="C17" s="69"/>
      <c r="F17" s="70">
        <f t="shared" si="2"/>
        <v>2031</v>
      </c>
      <c r="G17" s="80">
        <f t="shared" si="6"/>
        <v>96601.829974034932</v>
      </c>
      <c r="H17" s="79">
        <f t="shared" si="8"/>
        <v>7.9763855868368871E-3</v>
      </c>
      <c r="I17" s="70">
        <f>IF(AND(F17&gt;='Inputs &amp; Outputs'!B$13,F17&lt;'Inputs &amp; Outputs'!B$13+'Inputs &amp; Outputs'!B$19),1,0)</f>
        <v>1</v>
      </c>
      <c r="J17" s="71">
        <f>I17*'Inputs &amp; Outputs'!B$16*'Benefit Calculations'!G17*('Benefit Calculations'!C$4-'Benefit Calculations'!C$5)</f>
        <v>8999.4239322178473</v>
      </c>
      <c r="K17" s="89">
        <f t="shared" si="3"/>
        <v>2.5792454699119918</v>
      </c>
      <c r="L17" s="72">
        <f>K17*'Assumed Values'!$C$8</f>
        <v>19364.974988099235</v>
      </c>
      <c r="M17" s="73">
        <f t="shared" si="0"/>
        <v>8035.7761543119395</v>
      </c>
      <c r="N17" s="88">
        <f>I17*'Inputs &amp; Outputs'!B$16*'Benefit Calculations'!G17*('Benefit Calculations'!D$4-'Benefit Calculations'!D$5)</f>
        <v>4454.8901750124742</v>
      </c>
      <c r="O17" s="89">
        <f t="shared" si="4"/>
        <v>1.2767767569790067</v>
      </c>
      <c r="P17" s="72">
        <f>ABS(O17*'Assumed Values'!$C$7)</f>
        <v>2432.2597220450079</v>
      </c>
      <c r="Q17" s="73">
        <f t="shared" si="1"/>
        <v>1009.3013126799347</v>
      </c>
      <c r="T17" s="85">
        <f t="shared" si="5"/>
        <v>2.3398502223766404</v>
      </c>
      <c r="U17" s="86">
        <f>T17*'Assumed Values'!$D$8</f>
        <v>0</v>
      </c>
    </row>
    <row r="18" spans="2:21" x14ac:dyDescent="0.25">
      <c r="F18" s="70">
        <f t="shared" si="2"/>
        <v>2032</v>
      </c>
      <c r="G18" s="80">
        <f t="shared" si="6"/>
        <v>97372.363418301888</v>
      </c>
      <c r="H18" s="79">
        <f t="shared" si="8"/>
        <v>7.9763855868368871E-3</v>
      </c>
      <c r="I18" s="70">
        <f>IF(AND(F18&gt;='Inputs &amp; Outputs'!B$13,F18&lt;'Inputs &amp; Outputs'!B$13+'Inputs &amp; Outputs'!B$19),1,0)</f>
        <v>1</v>
      </c>
      <c r="J18" s="71">
        <f>I18*'Inputs &amp; Outputs'!B$16*'Benefit Calculations'!G18*('Benefit Calculations'!C$4-'Benefit Calculations'!C$5)</f>
        <v>9071.2068075606257</v>
      </c>
      <c r="K18" s="89">
        <f t="shared" si="3"/>
        <v>2.5998185263031122</v>
      </c>
      <c r="L18" s="72">
        <f>K18*'Assumed Values'!$C$8</f>
        <v>19519.437495483766</v>
      </c>
      <c r="M18" s="73">
        <f t="shared" si="0"/>
        <v>7569.9743957086366</v>
      </c>
      <c r="N18" s="88">
        <f>I18*'Inputs &amp; Outputs'!B$16*'Benefit Calculations'!G18*('Benefit Calculations'!D$4-'Benefit Calculations'!D$5)</f>
        <v>4490.4240967953847</v>
      </c>
      <c r="O18" s="89">
        <f t="shared" si="4"/>
        <v>1.2869608207009824</v>
      </c>
      <c r="P18" s="72">
        <f>ABS(O18*'Assumed Values'!$C$7)</f>
        <v>2451.6603634353714</v>
      </c>
      <c r="Q18" s="73">
        <f t="shared" si="1"/>
        <v>950.79615805903779</v>
      </c>
      <c r="T18" s="85">
        <f t="shared" si="5"/>
        <v>2.3585137699657626</v>
      </c>
      <c r="U18" s="86">
        <f>T18*'Assumed Values'!$D$8</f>
        <v>0</v>
      </c>
    </row>
    <row r="19" spans="2:21" x14ac:dyDescent="0.25">
      <c r="F19" s="70">
        <f t="shared" si="2"/>
        <v>2033</v>
      </c>
      <c r="G19" s="80">
        <f t="shared" si="6"/>
        <v>98149.042934427867</v>
      </c>
      <c r="H19" s="79">
        <f t="shared" si="8"/>
        <v>7.9763855868368871E-3</v>
      </c>
      <c r="I19" s="70">
        <f>IF(AND(F19&gt;='Inputs &amp; Outputs'!B$13,F19&lt;'Inputs &amp; Outputs'!B$13+'Inputs &amp; Outputs'!B$19),1,0)</f>
        <v>1</v>
      </c>
      <c r="J19" s="71">
        <f>I19*'Inputs &amp; Outputs'!B$16*'Benefit Calculations'!G19*('Benefit Calculations'!C$4-'Benefit Calculations'!C$5)</f>
        <v>9143.5622507956668</v>
      </c>
      <c r="K19" s="89">
        <f t="shared" si="3"/>
        <v>2.6205556813247077</v>
      </c>
      <c r="L19" s="72">
        <f>K19*'Assumed Values'!$C$8</f>
        <v>19675.132055385904</v>
      </c>
      <c r="M19" s="73">
        <f t="shared" si="0"/>
        <v>7131.1732994124195</v>
      </c>
      <c r="N19" s="88">
        <f>I19*'Inputs &amp; Outputs'!B$16*'Benefit Calculations'!G19*('Benefit Calculations'!D$4-'Benefit Calculations'!D$5)</f>
        <v>4526.2414508398479</v>
      </c>
      <c r="O19" s="89">
        <f t="shared" si="4"/>
        <v>1.2972261164420453</v>
      </c>
      <c r="P19" s="72">
        <f>ABS(O19*'Assumed Values'!$C$7)</f>
        <v>2471.2157518220965</v>
      </c>
      <c r="Q19" s="73">
        <f t="shared" si="1"/>
        <v>895.68231292542021</v>
      </c>
      <c r="T19" s="85">
        <f t="shared" si="5"/>
        <v>2.3773261852068734</v>
      </c>
      <c r="U19" s="86">
        <f>T19*'Assumed Values'!$D$8</f>
        <v>0</v>
      </c>
    </row>
    <row r="20" spans="2:21" x14ac:dyDescent="0.25">
      <c r="F20" s="70">
        <f t="shared" si="2"/>
        <v>2034</v>
      </c>
      <c r="G20" s="80">
        <f t="shared" si="6"/>
        <v>98931.917545851873</v>
      </c>
      <c r="H20" s="79">
        <f t="shared" si="8"/>
        <v>7.9763855868368871E-3</v>
      </c>
      <c r="I20" s="70">
        <f>IF(AND(F20&gt;='Inputs &amp; Outputs'!B$13,F20&lt;'Inputs &amp; Outputs'!B$13+'Inputs &amp; Outputs'!B$19),1,0)</f>
        <v>1</v>
      </c>
      <c r="J20" s="71">
        <f>I20*'Inputs &amp; Outputs'!B$16*'Benefit Calculations'!G20*('Benefit Calculations'!C$4-'Benefit Calculations'!C$5)</f>
        <v>9216.4948289452605</v>
      </c>
      <c r="K20" s="89">
        <f t="shared" si="3"/>
        <v>2.6414582438907295</v>
      </c>
      <c r="L20" s="72">
        <f>K20*'Assumed Values'!$C$8</f>
        <v>19832.068495131596</v>
      </c>
      <c r="M20" s="73">
        <f t="shared" si="0"/>
        <v>6717.8077451729814</v>
      </c>
      <c r="N20" s="88">
        <f>I20*'Inputs &amp; Outputs'!B$16*'Benefit Calculations'!G20*('Benefit Calculations'!D$4-'Benefit Calculations'!D$5)</f>
        <v>4562.3444979108708</v>
      </c>
      <c r="O20" s="89">
        <f t="shared" si="4"/>
        <v>1.3075732921401022</v>
      </c>
      <c r="P20" s="72">
        <f>ABS(O20*'Assumed Values'!$C$7)</f>
        <v>2490.9271215268946</v>
      </c>
      <c r="Q20" s="73">
        <f t="shared" si="1"/>
        <v>843.76319665104984</v>
      </c>
      <c r="T20" s="85">
        <f t="shared" si="5"/>
        <v>2.3962886555257676</v>
      </c>
      <c r="U20" s="86">
        <f>T20*'Assumed Values'!$D$8</f>
        <v>0</v>
      </c>
    </row>
    <row r="21" spans="2:21" x14ac:dyDescent="0.25">
      <c r="F21" s="70">
        <f t="shared" si="2"/>
        <v>2035</v>
      </c>
      <c r="G21" s="80">
        <f t="shared" si="6"/>
        <v>99721.036667042747</v>
      </c>
      <c r="H21" s="79">
        <f t="shared" si="8"/>
        <v>7.9763855868368871E-3</v>
      </c>
      <c r="I21" s="70">
        <f>IF(AND(F21&gt;='Inputs &amp; Outputs'!B$13,F21&lt;'Inputs &amp; Outputs'!B$13+'Inputs &amp; Outputs'!B$19),1,0)</f>
        <v>1</v>
      </c>
      <c r="J21" s="71">
        <f>I21*'Inputs &amp; Outputs'!B$16*'Benefit Calculations'!G21*('Benefit Calculations'!C$4-'Benefit Calculations'!C$5)</f>
        <v>9290.009145460017</v>
      </c>
      <c r="K21" s="89">
        <f t="shared" si="3"/>
        <v>2.6625275333555312</v>
      </c>
      <c r="L21" s="72">
        <f>K21*'Assumed Values'!$C$8</f>
        <v>19990.256720433328</v>
      </c>
      <c r="M21" s="73">
        <f t="shared" si="0"/>
        <v>6328.4033364922625</v>
      </c>
      <c r="N21" s="88">
        <f>I21*'Inputs &amp; Outputs'!B$16*'Benefit Calculations'!G21*('Benefit Calculations'!D$4-'Benefit Calculations'!D$5)</f>
        <v>4598.7355168061922</v>
      </c>
      <c r="O21" s="89">
        <f t="shared" si="4"/>
        <v>1.3180030009012613</v>
      </c>
      <c r="P21" s="72">
        <f>ABS(O21*'Assumed Values'!$C$7)</f>
        <v>2510.7957167169029</v>
      </c>
      <c r="Q21" s="73">
        <f t="shared" si="1"/>
        <v>794.85362359955218</v>
      </c>
      <c r="T21" s="85">
        <f t="shared" si="5"/>
        <v>2.4154023778196043</v>
      </c>
      <c r="U21" s="86">
        <f>T21*'Assumed Values'!$D$8</f>
        <v>0</v>
      </c>
    </row>
    <row r="22" spans="2:21" x14ac:dyDescent="0.25">
      <c r="F22" s="70">
        <f t="shared" si="2"/>
        <v>2036</v>
      </c>
      <c r="G22" s="80">
        <f t="shared" si="6"/>
        <v>100516.45010661818</v>
      </c>
      <c r="H22" s="79">
        <f t="shared" si="8"/>
        <v>7.9763855868368871E-3</v>
      </c>
      <c r="I22" s="70">
        <f>IF(AND(F22&gt;='Inputs &amp; Outputs'!B$13,F22&lt;'Inputs &amp; Outputs'!B$13+'Inputs &amp; Outputs'!B$19),1,0)</f>
        <v>1</v>
      </c>
      <c r="J22" s="71">
        <f>I22*'Inputs &amp; Outputs'!B$16*'Benefit Calculations'!G22*('Benefit Calculations'!C$4-'Benefit Calculations'!C$5)</f>
        <v>9364.1098405094453</v>
      </c>
      <c r="K22" s="89">
        <f t="shared" si="3"/>
        <v>2.6837648795971445</v>
      </c>
      <c r="L22" s="72">
        <f>K22*'Assumed Values'!$C$8</f>
        <v>20149.70671601536</v>
      </c>
      <c r="M22" s="73">
        <f t="shared" si="0"/>
        <v>5961.5711417319153</v>
      </c>
      <c r="N22" s="88">
        <f>I22*'Inputs &amp; Outputs'!B$16*'Benefit Calculations'!G22*('Benefit Calculations'!D$4-'Benefit Calculations'!D$5)</f>
        <v>4635.4168045001197</v>
      </c>
      <c r="O22" s="89">
        <f t="shared" si="4"/>
        <v>1.3285159010410581</v>
      </c>
      <c r="P22" s="72">
        <f>ABS(O22*'Assumed Values'!$C$7)</f>
        <v>2530.8227914832155</v>
      </c>
      <c r="Q22" s="73">
        <f t="shared" si="1"/>
        <v>748.77914260418379</v>
      </c>
      <c r="T22" s="85">
        <f t="shared" si="5"/>
        <v>2.4346685585324561</v>
      </c>
      <c r="U22" s="86">
        <f>T22*'Assumed Values'!$D$8</f>
        <v>0</v>
      </c>
    </row>
    <row r="23" spans="2:21" x14ac:dyDescent="0.25">
      <c r="F23" s="70">
        <f t="shared" si="2"/>
        <v>2037</v>
      </c>
      <c r="G23" s="80">
        <f t="shared" si="6"/>
        <v>101318.20807048862</v>
      </c>
      <c r="H23" s="79">
        <f t="shared" si="8"/>
        <v>7.9763855868368871E-3</v>
      </c>
      <c r="I23" s="70">
        <f>IF(AND(F23&gt;='Inputs &amp; Outputs'!B$13,F23&lt;'Inputs &amp; Outputs'!B$13+'Inputs &amp; Outputs'!B$19),1,0)</f>
        <v>1</v>
      </c>
      <c r="J23" s="71">
        <f>I23*'Inputs &amp; Outputs'!B$16*'Benefit Calculations'!G23*('Benefit Calculations'!C$4-'Benefit Calculations'!C$5)</f>
        <v>9438.8015912748433</v>
      </c>
      <c r="K23" s="89">
        <f t="shared" si="3"/>
        <v>2.7051716231012222</v>
      </c>
      <c r="L23" s="72">
        <f>K23*'Assumed Values'!$C$8</f>
        <v>20310.428546243977</v>
      </c>
      <c r="M23" s="73">
        <f t="shared" si="0"/>
        <v>5616.0027400576901</v>
      </c>
      <c r="N23" s="88">
        <f>I23*'Inputs &amp; Outputs'!B$16*'Benefit Calculations'!G23*('Benefit Calculations'!D$4-'Benefit Calculations'!D$5)</f>
        <v>4672.3906762885163</v>
      </c>
      <c r="O23" s="89">
        <f t="shared" si="4"/>
        <v>1.3391126561260056</v>
      </c>
      <c r="P23" s="72">
        <f>ABS(O23*'Assumed Values'!$C$7)</f>
        <v>2551.0096099200405</v>
      </c>
      <c r="Q23" s="73">
        <f t="shared" si="1"/>
        <v>705.37541473362228</v>
      </c>
      <c r="T23" s="85">
        <f t="shared" si="5"/>
        <v>2.4540884137314589</v>
      </c>
      <c r="U23" s="86">
        <f>T23*'Assumed Values'!$D$8</f>
        <v>0</v>
      </c>
    </row>
    <row r="24" spans="2:21" x14ac:dyDescent="0.25">
      <c r="F24" s="70">
        <f t="shared" si="2"/>
        <v>2038</v>
      </c>
      <c r="G24" s="80">
        <f t="shared" si="6"/>
        <v>102126.3611650262</v>
      </c>
      <c r="H24" s="79">
        <f t="shared" si="8"/>
        <v>7.9763855868368871E-3</v>
      </c>
      <c r="I24" s="70">
        <f>IF(AND(F24&gt;='Inputs &amp; Outputs'!B$13,F24&lt;'Inputs &amp; Outputs'!B$13+'Inputs &amp; Outputs'!B$19),1,0)</f>
        <v>1</v>
      </c>
      <c r="J24" s="71">
        <f>I24*'Inputs &amp; Outputs'!B$16*'Benefit Calculations'!G24*('Benefit Calculations'!C$4-'Benefit Calculations'!C$5)</f>
        <v>9514.0891122445009</v>
      </c>
      <c r="K24" s="89">
        <f t="shared" si="3"/>
        <v>2.7267491150456471</v>
      </c>
      <c r="L24" s="72">
        <f>K24*'Assumed Values'!$C$8</f>
        <v>20472.432355762718</v>
      </c>
      <c r="M24" s="73">
        <f t="shared" si="0"/>
        <v>5290.4655545505821</v>
      </c>
      <c r="N24" s="88">
        <f>I24*'Inputs &amp; Outputs'!B$16*'Benefit Calculations'!G24*('Benefit Calculations'!D$4-'Benefit Calculations'!D$5)</f>
        <v>4709.6594659349348</v>
      </c>
      <c r="O24" s="89">
        <f t="shared" si="4"/>
        <v>1.3497939350154797</v>
      </c>
      <c r="P24" s="72">
        <f>ABS(O24*'Assumed Values'!$C$7)</f>
        <v>2571.357446204489</v>
      </c>
      <c r="Q24" s="73">
        <f t="shared" si="1"/>
        <v>664.48762712618009</v>
      </c>
      <c r="T24" s="85">
        <f t="shared" si="5"/>
        <v>2.4736631691835704</v>
      </c>
      <c r="U24" s="86">
        <f>T24*'Assumed Values'!$D$8</f>
        <v>0</v>
      </c>
    </row>
    <row r="25" spans="2:21" x14ac:dyDescent="0.25">
      <c r="F25" s="70">
        <f t="shared" si="2"/>
        <v>2039</v>
      </c>
      <c r="G25" s="80">
        <f t="shared" si="6"/>
        <v>102940.96040025902</v>
      </c>
      <c r="H25" s="79">
        <f t="shared" si="8"/>
        <v>7.9763855868368871E-3</v>
      </c>
      <c r="I25" s="70">
        <f>IF(AND(F25&gt;='Inputs &amp; Outputs'!B$13,F25&lt;'Inputs &amp; Outputs'!B$13+'Inputs &amp; Outputs'!B$19),1,0)</f>
        <v>1</v>
      </c>
      <c r="J25" s="71">
        <f>I25*'Inputs &amp; Outputs'!B$16*'Benefit Calculations'!G25*('Benefit Calculations'!C$4-'Benefit Calculations'!C$5)</f>
        <v>9589.9771555112893</v>
      </c>
      <c r="K25" s="89">
        <f t="shared" si="3"/>
        <v>2.7484987173858171</v>
      </c>
      <c r="L25" s="72">
        <f>K25*'Assumed Values'!$C$8</f>
        <v>20635.728370132714</v>
      </c>
      <c r="M25" s="73">
        <f t="shared" si="0"/>
        <v>4983.7984558388371</v>
      </c>
      <c r="N25" s="88">
        <f>I25*'Inputs &amp; Outputs'!B$16*'Benefit Calculations'!G25*('Benefit Calculations'!D$4-'Benefit Calculations'!D$5)</f>
        <v>4747.2255258179284</v>
      </c>
      <c r="O25" s="89">
        <f t="shared" si="4"/>
        <v>1.3605604119039372</v>
      </c>
      <c r="P25" s="72">
        <f>ABS(O25*'Assumed Values'!$C$7)</f>
        <v>2591.8675846770002</v>
      </c>
      <c r="Q25" s="73">
        <f t="shared" si="1"/>
        <v>625.96994080170168</v>
      </c>
      <c r="T25" s="85">
        <f t="shared" si="5"/>
        <v>2.493394060432935</v>
      </c>
      <c r="U25" s="86">
        <f>T25*'Assumed Values'!$D$8</f>
        <v>0</v>
      </c>
    </row>
    <row r="26" spans="2:21" x14ac:dyDescent="0.25">
      <c r="F26" s="70">
        <f t="shared" si="2"/>
        <v>2040</v>
      </c>
      <c r="G26" s="80">
        <f t="shared" si="6"/>
        <v>103762.05719309079</v>
      </c>
      <c r="H26" s="79">
        <f t="shared" si="8"/>
        <v>7.9763855868368871E-3</v>
      </c>
      <c r="I26" s="70">
        <f>IF(AND(F26&gt;='Inputs &amp; Outputs'!B$13,F26&lt;'Inputs &amp; Outputs'!B$13+'Inputs &amp; Outputs'!B$19),1,0)</f>
        <v>1</v>
      </c>
      <c r="J26" s="71">
        <f>I26*'Inputs &amp; Outputs'!B$16*'Benefit Calculations'!G26*('Benefit Calculations'!C$4-'Benefit Calculations'!C$5)</f>
        <v>9666.4705110726045</v>
      </c>
      <c r="K26" s="89">
        <f t="shared" si="3"/>
        <v>2.7704218029406129</v>
      </c>
      <c r="L26" s="72">
        <f>K26*'Assumed Values'!$C$8</f>
        <v>20800.32689647812</v>
      </c>
      <c r="M26" s="73">
        <f t="shared" si="0"/>
        <v>4694.9076205698029</v>
      </c>
      <c r="N26" s="88">
        <f>I26*'Inputs &amp; Outputs'!B$16*'Benefit Calculations'!G26*('Benefit Calculations'!D$4-'Benefit Calculations'!D$5)</f>
        <v>4785.0912270795261</v>
      </c>
      <c r="O26" s="89">
        <f t="shared" si="4"/>
        <v>1.3714127663634683</v>
      </c>
      <c r="P26" s="72">
        <f>ABS(O26*'Assumed Values'!$C$7)</f>
        <v>2612.5413199224072</v>
      </c>
      <c r="Q26" s="73">
        <f t="shared" si="1"/>
        <v>589.68497048159384</v>
      </c>
      <c r="T26" s="85">
        <f t="shared" si="5"/>
        <v>2.5132823328788771</v>
      </c>
      <c r="U26" s="86">
        <f>T26*'Assumed Values'!$D$8</f>
        <v>0</v>
      </c>
    </row>
    <row r="27" spans="2:21" x14ac:dyDescent="0.25">
      <c r="F27" s="70">
        <f t="shared" si="2"/>
        <v>2041</v>
      </c>
      <c r="G27" s="80">
        <f t="shared" si="6"/>
        <v>104589.70337054631</v>
      </c>
      <c r="H27" s="79">
        <f t="shared" si="8"/>
        <v>7.9763855868368871E-3</v>
      </c>
      <c r="I27" s="70">
        <f>IF(AND(F27&gt;='Inputs &amp; Outputs'!B$13,F27&lt;'Inputs &amp; Outputs'!B$13+'Inputs &amp; Outputs'!B$19),1,0)</f>
        <v>1</v>
      </c>
      <c r="J27" s="71">
        <f>I27*'Inputs &amp; Outputs'!B$16*'Benefit Calculations'!G27*('Benefit Calculations'!C$4-'Benefit Calculations'!C$5)</f>
        <v>9743.5740071327091</v>
      </c>
      <c r="K27" s="89">
        <f t="shared" si="3"/>
        <v>2.7925197554790477</v>
      </c>
      <c r="L27" s="72">
        <f>K27*'Assumed Values'!$C$8</f>
        <v>20966.238324136692</v>
      </c>
      <c r="M27" s="73">
        <f t="shared" si="0"/>
        <v>4422.7626299495778</v>
      </c>
      <c r="N27" s="88">
        <f>I27*'Inputs &amp; Outputs'!B$16*'Benefit Calculations'!G27*('Benefit Calculations'!D$4-'Benefit Calculations'!D$5)</f>
        <v>4823.2589597749038</v>
      </c>
      <c r="O27" s="89">
        <f t="shared" si="4"/>
        <v>1.3823516833866945</v>
      </c>
      <c r="P27" s="72">
        <f>ABS(O27*'Assumed Values'!$C$7)</f>
        <v>2633.3799568516529</v>
      </c>
      <c r="Q27" s="73">
        <f t="shared" si="1"/>
        <v>555.50329456160534</v>
      </c>
      <c r="T27" s="85">
        <f t="shared" si="5"/>
        <v>2.5333292418545041</v>
      </c>
      <c r="U27" s="86">
        <f>T27*'Assumed Values'!$D$8</f>
        <v>0</v>
      </c>
    </row>
    <row r="28" spans="2:21" x14ac:dyDescent="0.25">
      <c r="F28" s="70">
        <f t="shared" si="2"/>
        <v>2042</v>
      </c>
      <c r="G28" s="80">
        <f t="shared" si="6"/>
        <v>105423.95117304267</v>
      </c>
      <c r="H28" s="79">
        <f t="shared" si="8"/>
        <v>7.9763855868368871E-3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106264.85325768673</v>
      </c>
      <c r="H29" s="79">
        <f t="shared" si="8"/>
        <v>7.9763855868368871E-3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107112.46270159868</v>
      </c>
      <c r="H30" s="79">
        <f t="shared" si="8"/>
        <v>7.9763855868368871E-3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112342</v>
      </c>
      <c r="H31" s="79">
        <f t="shared" si="8"/>
        <v>7.9763855868368871E-3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113238.08310959642</v>
      </c>
      <c r="H32" s="79">
        <f t="shared" si="8"/>
        <v>7.9763855868368871E-3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114141.31372359284</v>
      </c>
      <c r="H33" s="79">
        <f t="shared" si="8"/>
        <v>7.9763855868368871E-3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115051.74885324034</v>
      </c>
      <c r="H34" s="79">
        <f t="shared" si="8"/>
        <v>7.9763855868368871E-3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115969.4459645337</v>
      </c>
      <c r="H35" s="79">
        <f t="shared" si="8"/>
        <v>7.9763855868368871E-3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116894.46298183867</v>
      </c>
      <c r="H36" s="79">
        <f t="shared" si="8"/>
        <v>7.9763855868368871E-3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176138.12782956878</v>
      </c>
      <c r="K37" s="71">
        <f t="shared" ref="K37:Q37" si="9">SUM(K4:K36)</f>
        <v>50.481394332007483</v>
      </c>
      <c r="L37" s="74">
        <f t="shared" si="9"/>
        <v>379014.30864471232</v>
      </c>
      <c r="M37" s="75">
        <f t="shared" si="9"/>
        <v>157943.66315098203</v>
      </c>
      <c r="N37" s="88">
        <f t="shared" si="9"/>
        <v>87191.804833629954</v>
      </c>
      <c r="O37" s="88">
        <f t="shared" si="9"/>
        <v>24.989273682895412</v>
      </c>
      <c r="P37" s="76">
        <f t="shared" si="9"/>
        <v>47604.566365915744</v>
      </c>
      <c r="Q37" s="75">
        <f t="shared" si="9"/>
        <v>19837.877945644846</v>
      </c>
      <c r="T37" s="85">
        <f>SUM(T4:T36)</f>
        <v>45.795913235687898</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7" t="s">
        <v>118</v>
      </c>
      <c r="B1" s="127"/>
      <c r="C1" s="127"/>
      <c r="D1" s="127"/>
      <c r="E1" s="127"/>
      <c r="F1" s="127"/>
      <c r="G1" s="127"/>
      <c r="H1" s="127"/>
      <c r="I1" s="127"/>
      <c r="J1" s="127"/>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7" t="s">
        <v>118</v>
      </c>
      <c r="B20" s="127"/>
      <c r="C20" s="127"/>
      <c r="D20" s="127"/>
      <c r="E20" s="127"/>
      <c r="F20" s="127"/>
      <c r="G20" s="127"/>
      <c r="H20" s="127"/>
      <c r="I20" s="127"/>
      <c r="J20" s="127"/>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7" t="s">
        <v>118</v>
      </c>
      <c r="B1" s="127"/>
      <c r="C1" s="127"/>
      <c r="D1" s="127"/>
      <c r="E1" s="127"/>
      <c r="F1" s="127"/>
      <c r="G1" s="127"/>
      <c r="H1" s="127"/>
      <c r="I1" s="127"/>
      <c r="J1" s="127"/>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7" t="s">
        <v>118</v>
      </c>
      <c r="B20" s="127"/>
      <c r="C20" s="127"/>
      <c r="D20" s="127"/>
      <c r="E20" s="127"/>
      <c r="F20" s="127"/>
      <c r="G20" s="127"/>
      <c r="H20" s="127"/>
      <c r="I20" s="127"/>
      <c r="J20" s="127"/>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ITS Delay Worksheet</vt:lpstr>
      <vt:lpstr>Emissions Reduction Worksheet</vt:lpstr>
      <vt:lpstr>Inputs &amp; Outputs</vt:lpstr>
      <vt:lpstr>Narrative</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Mohammad Huq, P.E., PTOE</cp:lastModifiedBy>
  <cp:lastPrinted>2018-10-30T13:10:24Z</cp:lastPrinted>
  <dcterms:created xsi:type="dcterms:W3CDTF">2012-07-25T15:48:32Z</dcterms:created>
  <dcterms:modified xsi:type="dcterms:W3CDTF">2018-10-30T19:54:23Z</dcterms:modified>
</cp:coreProperties>
</file>