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TXC - 4th5th\"/>
    </mc:Choice>
  </mc:AlternateContent>
  <xr:revisionPtr revIDLastSave="0" documentId="13_ncr:1_{F9E5CDE6-17BA-41D3-B751-0EC1D84E49B9}" xr6:coauthVersionLast="37" xr6:coauthVersionMax="37" xr10:uidLastSave="{00000000-0000-0000-0000-000000000000}"/>
  <bookViews>
    <workbookView xWindow="10965" yWindow="0" windowWidth="23040" windowHeight="85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<sst xmlns="http://schemas.openxmlformats.org/spreadsheetml/2006/main" count="262" uniqueCount="130">
  <si>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</si>
  <si>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</si>
  <si>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</si>
  <si>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</si>
  <si>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</si>
  <si>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</si>
  <si>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</si>
  <si>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</si>
  <si>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</si>
  <si>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</si>
  <si>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</si>
  <si>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</si>
  <si>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</si>
  <si>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</si>
  <si>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</si>
  <si>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</si>
  <si>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</si>
  <si>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</si>
  <si>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</si>
  <si>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</si>
  <si>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</si>
  <si>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</si>
  <si>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</si>
  <si>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</si>
  <si>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</si>
  <si>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</si>
  <si>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</si>
  <si>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</si>
  <si>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</si>
  <si>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</si>
  <si>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</si>
  <si>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</si>
  <si>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</si>
  <si>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</si>
  <si>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</si>
  <si>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</si>
  <si>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</si>
  <si>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</si>
  <si>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</si>
  <si>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</si>
  <si>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</si>
  <si>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</si>
  <si>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</si>
  <si>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</si>
  <si>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</si>
  <si>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</si>
  <si>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</si>
  <si>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</si>
  <si>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</si>
  <si>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</si>
  <si>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</si>
  <si>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</si>
  <si>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</si>
  <si>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</si>
  <si>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</si>
  <si>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</si>
  <si>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</si>
  <si>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</si>
  <si>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</si>
  <si>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</si>
  <si>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</si>
  <si>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</si>
  <si>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</si>
  <si>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</si>
  <si>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</si>
  <si>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</si>
  <si>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</si>
  <si>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</si>
  <si>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</si>
  <si>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</si>
  <si>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</si>
  <si>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</si>
  <si>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</si>
  <si>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</si>
  <si>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</si>
  <si>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</si>
  <si>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</si>
  <si>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</si>
  <si>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</si>
  <si>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</si>
  <si>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</si>
  <si>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</si>
  <si>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</si>
  <si>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</si>
  <si>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</si>
  <si>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</si>
  <si>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</si>
  <si>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</si>
  <si>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</si>
  <si>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</si>
  <si>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</si>
  <si>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</si>
  <si>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</si>
  <si>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</si>
  <si>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</si>
  <si>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</si>
  <si>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</si>
  <si>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</si>
  <si>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</si>
  <si>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</si>
  <si>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</si>
  <si>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</si>
  <si>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</si>
  <si>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</si>
  <si>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</si>
  <si>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</si>
  <si>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</si>
  <si>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</si>
  <si>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</si>
  <si>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</si>
  <si>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</si>
  <si>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</si>
  <si>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</si>
  <si>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</si>
  <si>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</si>
  <si>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</si>
  <si>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</si>
  <si>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</si>
  <si>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</si>
  <si>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</si>
  <si>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</si>
  <si>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</si>
  <si>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</si>
  <si>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</si>
  <si>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</si>
  <si>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</si>
  <si>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</si>
  <si>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</si>
  <si>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</si>
  <si>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 xml:space="preserve">5th/4th Avenue Rehabilitation and Added Capacity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</si>
</sst>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Protection="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gchoudc01\TGC_Projects\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2" t="s">
        <v>29</v>
      </c>
      <c r="E6" s="123"/>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2" t="s">
        <v>29</v>
      </c>
      <c r="E6" s="123"/>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2" t="s">
        <v>30</v>
      </c>
      <c r="E8" s="123"/>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4" zoomScaleNormal="100" workbookViewId="0">
      <selection activeCell="B20" sqref="B20"/>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201</v>
      </c>
      <c r="D7" s="98"/>
      <c r="E7" s="99" t="s">
        <v>127</v>
      </c>
    </row>
    <row r="8" spans="1:5" x14ac:dyDescent="0.25">
      <c r="A8" s="6" t="s">
        <v>52</v>
      </c>
      <c r="B8" s="6"/>
      <c r="D8" s="103"/>
      <c r="E8" s="99" t="s">
        <v>92</v>
      </c>
    </row>
    <row r="9" spans="1:5" x14ac:dyDescent="0.25">
      <c r="A9" s="6" t="s">
        <v>64</v>
      </c>
      <c r="B9" s="104" t="s">
        <v>70</v>
      </c>
      <c r="D9" s="105"/>
      <c r="E9" s="99" t="s">
        <v>93</v>
      </c>
    </row>
    <row r="11" spans="1:5" x14ac:dyDescent="0.25">
      <c r="A11" s="63"/>
      <c r="B11" s="63"/>
    </row>
    <row r="12" spans="1:5" x14ac:dyDescent="0.25">
      <c r="A12" s="102" t="s">
        <v>85</v>
      </c>
      <c r="B12" s="63"/>
    </row>
    <row r="13" spans="1:5" x14ac:dyDescent="0.25">
      <c r="A13" s="6" t="s">
        <v>56</v>
      </c>
      <c r="B13" s="45">
        <v>2022</v>
      </c>
    </row>
    <row r="14" spans="1:5" x14ac:dyDescent="0.25">
      <c r="A14" s="6" t="s">
        <v>86</v>
      </c>
      <c r="B14" s="6" t="s">
        <v>121</v>
      </c>
    </row>
    <row r="15" spans="1:5" x14ac:dyDescent="0.25">
      <c r="A15" s="106" t="s">
        <v>87</v>
      </c>
      <c r="B15" s="57" t="s">
        <v>76</v>
      </c>
    </row>
    <row r="16" spans="1:5" x14ac:dyDescent="0.25">
      <c r="A16" s="106" t="s">
        <v>88</v>
      </c>
      <c r="B16" s="57">
        <v>2.92</v>
      </c>
    </row>
    <row r="17" spans="1:3" x14ac:dyDescent="0.25">
      <c r="A17" s="107" t="s">
        <v>95</v>
      </c>
      <c r="B17" s="119">
        <v>24</v>
      </c>
    </row>
    <row r="18" spans="1:3" x14ac:dyDescent="0.25">
      <c r="A18" s="107" t="s">
        <v>96</v>
      </c>
      <c r="B18" s="119">
        <v>28</v>
      </c>
    </row>
    <row r="19" spans="1:3" x14ac:dyDescent="0.25">
      <c r="A19" s="96" t="s">
        <v>97</v>
      </c>
      <c r="B19" s="97">
        <f>VLOOKUP(B14,'Service Life'!C6:D8,2,FALSE)</f>
        <v>20</v>
      </c>
    </row>
    <row r="21" spans="1:3" x14ac:dyDescent="0.25">
      <c r="A21" s="102" t="s">
        <v>89</v>
      </c>
    </row>
    <row r="22" spans="1:3" ht="20.25" customHeight="1" x14ac:dyDescent="0.25">
      <c r="A22" s="107" t="s">
        <v>90</v>
      </c>
      <c r="B22" s="120">
        <v>2516</v>
      </c>
    </row>
    <row r="23" spans="1:3" ht="30" x14ac:dyDescent="0.25">
      <c r="A23" s="118" t="s">
        <v>101</v>
      </c>
      <c r="B23" s="121">
        <v>2637</v>
      </c>
    </row>
    <row r="24" spans="1:3" ht="30" x14ac:dyDescent="0.25">
      <c r="A24" s="118" t="s">
        <v>102</v>
      </c>
      <c r="B24" s="121">
        <v>2938</v>
      </c>
    </row>
    <row r="27" spans="1:3" ht="18.75" x14ac:dyDescent="0.3">
      <c r="A27" s="100" t="s">
        <v>55</v>
      </c>
      <c r="B27" s="101"/>
    </row>
    <row r="29" spans="1:3" x14ac:dyDescent="0.25">
      <c r="A29" s="108" t="s">
        <v>53</v>
      </c>
    </row>
    <row r="30" spans="1:3" x14ac:dyDescent="0.25">
      <c r="A30" s="105" t="s">
        <v>112</v>
      </c>
      <c r="B30" s="114">
        <f>'Benefit Calculations'!M37</f>
        <v>803.89895074747096</v>
      </c>
    </row>
    <row r="31" spans="1:3" x14ac:dyDescent="0.25">
      <c r="A31" s="105" t="s">
        <v>113</v>
      </c>
      <c r="B31" s="114">
        <f>'Benefit Calculations'!Q37</f>
        <v>45.345815786732658</v>
      </c>
      <c r="C31" s="109"/>
    </row>
    <row r="32" spans="1:3" x14ac:dyDescent="0.25">
      <c r="A32" s="110"/>
      <c r="B32" s="111"/>
      <c r="C32" s="109"/>
    </row>
    <row r="33" spans="1:9" x14ac:dyDescent="0.25">
      <c r="A33" s="108" t="s">
        <v>94</v>
      </c>
      <c r="B33" s="111"/>
      <c r="C33" s="109"/>
    </row>
    <row r="34" spans="1:9" x14ac:dyDescent="0.25">
      <c r="A34" s="105" t="s">
        <v>114</v>
      </c>
      <c r="B34" s="114">
        <f>$B$30+$B$31</f>
        <v>849.24476653420356</v>
      </c>
      <c r="C34" s="109"/>
    </row>
    <row r="35" spans="1:9" x14ac:dyDescent="0.25">
      <c r="I35" s="112"/>
    </row>
    <row r="36" spans="1:9" x14ac:dyDescent="0.25">
      <c r="A36" s="108" t="s">
        <v>107</v>
      </c>
    </row>
    <row r="37" spans="1:9" x14ac:dyDescent="0.25">
      <c r="A37" s="105" t="s">
        <v>116</v>
      </c>
      <c r="B37" s="115">
        <f>'Benefit Calculations'!K37</f>
        <v>0.25010344628872494</v>
      </c>
    </row>
    <row r="38" spans="1:9" x14ac:dyDescent="0.25">
      <c r="A38" s="105" t="s">
        <v>117</v>
      </c>
      <c r="B38" s="115">
        <f>'Benefit Calculations'!O37</f>
        <v>5.5601270785537324E-2</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6.9846697151699999E-2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1.60907004028999E-2</v>
      </c>
      <c r="F4" s="70">
        <v>2018</v>
      </c>
      <c r="G4" s="80">
        <f>'Inputs &amp; Outputs'!B22</f>
        <v>2516</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6.4335100352800004E-2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1.4865400269599999E-2</v>
      </c>
      <c r="F5" s="70">
        <f t="shared" ref="F5:F36" si="2">F4+1</f>
        <v>2019</v>
      </c>
      <c r="G5" s="80">
        <f>G4+G4*H5</f>
        <v>2532.9396947873884</v>
      </c>
      <c r="H5" s="79">
        <f>$C$9</f>
        <v>6.7327880712990673E-3</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2549.9934409497728</v>
      </c>
      <c r="H6" s="79">
        <f t="shared" ref="H6:H11" si="7">$C$9</f>
        <v>6.7327880712990673E-3</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2567.1620063708901</v>
      </c>
      <c r="H7" s="79">
        <f t="shared" si="7"/>
        <v>6.7327880712990673E-3</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2584.4461641044763</v>
      </c>
      <c r="H8" s="79">
        <f t="shared" si="7"/>
        <v>6.7327880712990673E-3</v>
      </c>
      <c r="I8" s="70">
        <f>IF(AND(F8&gt;='Inputs &amp; Outputs'!B$13,F8&lt;'Inputs &amp; Outputs'!B$13+'Inputs &amp; Outputs'!B$19),1,0)</f>
        <v>1</v>
      </c>
      <c r="J8" s="71">
        <f>I8*'Inputs &amp; Outputs'!B$16*'Benefit Calculations'!G8*('Benefit Calculations'!C$4-'Benefit Calculations'!C$5)</f>
        <v>41.593721598622203</v>
      </c>
      <c r="K8" s="89">
        <f t="shared" si="3"/>
        <v>1.1920809467144232E-2</v>
      </c>
      <c r="L8" s="72">
        <f>K8*'Assumed Values'!$C$8</f>
        <v>89.501437479318895</v>
      </c>
      <c r="M8" s="73">
        <f t="shared" si="0"/>
        <v>68.280218124343307</v>
      </c>
      <c r="N8" s="88">
        <f>I8*'Inputs &amp; Outputs'!B$16*'Benefit Calculations'!G8*('Benefit Calculations'!D$4-'Benefit Calculations'!D$5)</f>
        <v>9.2468289098002074</v>
      </c>
      <c r="O8" s="89">
        <f t="shared" si="4"/>
        <v>2.6501520270948934E-3</v>
      </c>
      <c r="P8" s="72">
        <f>ABS(O8*'Assumed Values'!$C$7)</f>
        <v>5.0485396116157721</v>
      </c>
      <c r="Q8" s="73">
        <f t="shared" si="1"/>
        <v>3.8515066975339449</v>
      </c>
      <c r="T8" s="85">
        <f t="shared" si="5"/>
        <v>1.0814367615641774E-2</v>
      </c>
      <c r="U8" s="86">
        <f>T8*'Assumed Values'!$D$8</f>
        <v>0</v>
      </c>
    </row>
    <row r="9" spans="2:21" x14ac:dyDescent="0.25">
      <c r="B9" s="16" t="s">
        <v>104</v>
      </c>
      <c r="C9" s="67">
        <f>('Inputs &amp; Outputs'!B23/'Inputs &amp; Outputs'!B22)^(1/(2025-2018))-1</f>
        <v>6.7327880712990673E-3</v>
      </c>
      <c r="F9" s="70">
        <f t="shared" si="2"/>
        <v>2023</v>
      </c>
      <c r="G9" s="80">
        <f t="shared" si="6"/>
        <v>2601.8466924090735</v>
      </c>
      <c r="H9" s="79">
        <f t="shared" si="7"/>
        <v>6.7327880712990673E-3</v>
      </c>
      <c r="I9" s="70">
        <f>IF(AND(F9&gt;='Inputs &amp; Outputs'!B$13,F9&lt;'Inputs &amp; Outputs'!B$13+'Inputs &amp; Outputs'!B$19),1,0)</f>
        <v>1</v>
      </c>
      <c r="J9" s="71">
        <f>I9*'Inputs &amp; Outputs'!B$16*'Benefit Calculations'!G9*('Benefit Calculations'!C$4-'Benefit Calculations'!C$5)</f>
        <v>41.873763311242342</v>
      </c>
      <c r="K9" s="89">
        <f t="shared" si="3"/>
        <v>1.200106975092485E-2</v>
      </c>
      <c r="L9" s="72">
        <f>K9*'Assumed Values'!$C$8</f>
        <v>90.104031689943767</v>
      </c>
      <c r="M9" s="73">
        <f t="shared" si="0"/>
        <v>64.242929310688382</v>
      </c>
      <c r="N9" s="88">
        <f>I9*'Inputs &amp; Outputs'!B$16*'Benefit Calculations'!G9*('Benefit Calculations'!D$4-'Benefit Calculations'!D$5)</f>
        <v>9.3090858491814537</v>
      </c>
      <c r="O9" s="89">
        <f t="shared" si="4"/>
        <v>2.6679949390500473E-3</v>
      </c>
      <c r="P9" s="72">
        <f>ABS(O9*'Assumed Values'!$C$7)</f>
        <v>5.0825303588903399</v>
      </c>
      <c r="Q9" s="73">
        <f t="shared" si="1"/>
        <v>3.6237739026949813</v>
      </c>
      <c r="T9" s="85">
        <f t="shared" si="5"/>
        <v>1.0887178460923009E-2</v>
      </c>
      <c r="U9" s="86">
        <f>T9*'Assumed Values'!$D$8</f>
        <v>0</v>
      </c>
    </row>
    <row r="10" spans="2:21" x14ac:dyDescent="0.25">
      <c r="B10" s="16" t="s">
        <v>105</v>
      </c>
      <c r="C10" s="67">
        <f>('Inputs &amp; Outputs'!B24/'Inputs &amp; Outputs'!B23)^(1/(2045-2020))-1</f>
        <v>4.3328465684040474E-3</v>
      </c>
      <c r="F10" s="70">
        <f t="shared" si="2"/>
        <v>2024</v>
      </c>
      <c r="G10" s="80">
        <f t="shared" si="6"/>
        <v>2619.3643747830743</v>
      </c>
      <c r="H10" s="79">
        <f t="shared" si="7"/>
        <v>6.7327880712990673E-3</v>
      </c>
      <c r="I10" s="70">
        <f>IF(AND(F10&gt;='Inputs &amp; Outputs'!B$13,F10&lt;'Inputs &amp; Outputs'!B$13+'Inputs &amp; Outputs'!B$19),1,0)</f>
        <v>1</v>
      </c>
      <c r="J10" s="71">
        <f>I10*'Inputs &amp; Outputs'!B$16*'Benefit Calculations'!G10*('Benefit Calculations'!C$4-'Benefit Calculations'!C$5)</f>
        <v>42.155690485364673</v>
      </c>
      <c r="K10" s="89">
        <f t="shared" si="3"/>
        <v>1.2081870410186704E-2</v>
      </c>
      <c r="L10" s="72">
        <f>K10*'Assumed Values'!$C$8</f>
        <v>90.710683039681768</v>
      </c>
      <c r="M10" s="73">
        <f t="shared" si="0"/>
        <v>60.444358260576358</v>
      </c>
      <c r="N10" s="88">
        <f>I10*'Inputs &amp; Outputs'!B$16*'Benefit Calculations'!G10*('Benefit Calculations'!D$4-'Benefit Calculations'!D$5)</f>
        <v>9.3717619513415205</v>
      </c>
      <c r="O10" s="89">
        <f t="shared" si="4"/>
        <v>2.6859579835499694E-3</v>
      </c>
      <c r="P10" s="72">
        <f>ABS(O10*'Assumed Values'!$C$7)</f>
        <v>5.1167499586626919</v>
      </c>
      <c r="Q10" s="73">
        <f t="shared" si="1"/>
        <v>3.4095065461683469</v>
      </c>
      <c r="T10" s="85">
        <f t="shared" si="5"/>
        <v>1.0960479526194816E-2</v>
      </c>
      <c r="U10" s="86">
        <f>T10*'Assumed Values'!$D$8</f>
        <v>0</v>
      </c>
    </row>
    <row r="11" spans="2:21" x14ac:dyDescent="0.25">
      <c r="B11" s="16" t="s">
        <v>106</v>
      </c>
      <c r="C11" s="67">
        <f>('Inputs &amp; Outputs'!B24/'Inputs &amp; Outputs'!B22)^(1/(2045-2018))-1</f>
        <v>5.759438412929363E-3</v>
      </c>
      <c r="F11" s="70">
        <f t="shared" si="2"/>
        <v>2025</v>
      </c>
      <c r="G11" s="80">
        <f>'Inputs &amp; Outputs'!$B$23</f>
        <v>2637</v>
      </c>
      <c r="H11" s="79">
        <f t="shared" si="7"/>
        <v>6.7327880712990673E-3</v>
      </c>
      <c r="I11" s="70">
        <f>IF(AND(F11&gt;='Inputs &amp; Outputs'!B$13,F11&lt;'Inputs &amp; Outputs'!B$13+'Inputs &amp; Outputs'!B$19),1,0)</f>
        <v>1</v>
      </c>
      <c r="J11" s="71">
        <f>I11*'Inputs &amp; Outputs'!B$16*'Benefit Calculations'!G11*('Benefit Calculations'!C$4-'Benefit Calculations'!C$5)</f>
        <v>42.439515815401919</v>
      </c>
      <c r="K11" s="89">
        <f t="shared" si="3"/>
        <v>1.2163215083163391E-2</v>
      </c>
      <c r="L11" s="72">
        <f>K11*'Assumed Values'!$C$8</f>
        <v>91.321418844390735</v>
      </c>
      <c r="M11" s="73">
        <f t="shared" si="0"/>
        <v>56.870390013878968</v>
      </c>
      <c r="N11" s="88">
        <f>I11*'Inputs &amp; Outputs'!B$16*'Benefit Calculations'!G11*('Benefit Calculations'!D$4-'Benefit Calculations'!D$5)</f>
        <v>9.4348600384145698</v>
      </c>
      <c r="O11" s="89">
        <f t="shared" si="4"/>
        <v>2.7040419694216258E-3</v>
      </c>
      <c r="P11" s="72">
        <f>ABS(O11*'Assumed Values'!$C$7)</f>
        <v>5.1511999517481968</v>
      </c>
      <c r="Q11" s="73">
        <f t="shared" si="1"/>
        <v>3.2079084403471079</v>
      </c>
      <c r="T11" s="85">
        <f t="shared" si="5"/>
        <v>1.10342741120045E-2</v>
      </c>
      <c r="U11" s="86">
        <f>T11*'Assumed Values'!$D$8</f>
        <v>0</v>
      </c>
    </row>
    <row r="12" spans="2:21" x14ac:dyDescent="0.25">
      <c r="B12" s="27"/>
      <c r="C12" s="68"/>
      <c r="F12" s="70">
        <f t="shared" si="2"/>
        <v>2026</v>
      </c>
      <c r="G12" s="80">
        <f t="shared" si="6"/>
        <v>2648.4257164008814</v>
      </c>
      <c r="H12" s="79">
        <f>$C$10</f>
        <v>4.3328465684040474E-3</v>
      </c>
      <c r="I12" s="70">
        <f>IF(AND(F12&gt;='Inputs &amp; Outputs'!B$13,F12&lt;'Inputs &amp; Outputs'!B$13+'Inputs &amp; Outputs'!B$19),1,0)</f>
        <v>1</v>
      </c>
      <c r="J12" s="71">
        <f>I12*'Inputs &amp; Outputs'!B$16*'Benefit Calculations'!G12*('Benefit Calculations'!C$4-'Benefit Calculations'!C$5)</f>
        <v>42.623399725867415</v>
      </c>
      <c r="K12" s="89">
        <f t="shared" si="3"/>
        <v>1.2215916427897237E-2</v>
      </c>
      <c r="L12" s="72">
        <f>K12*'Assumed Values'!$C$8</f>
        <v>91.717100540652453</v>
      </c>
      <c r="M12" s="73">
        <f t="shared" si="0"/>
        <v>53.380187558966739</v>
      </c>
      <c r="N12" s="88">
        <f>I12*'Inputs &amp; Outputs'!B$16*'Benefit Calculations'!G12*('Benefit Calculations'!D$4-'Benefit Calculations'!D$5)</f>
        <v>9.475739839355386</v>
      </c>
      <c r="O12" s="89">
        <f t="shared" si="4"/>
        <v>2.7157581683896546E-3</v>
      </c>
      <c r="P12" s="72">
        <f>ABS(O12*'Assumed Values'!$C$7)</f>
        <v>5.1735193107822921</v>
      </c>
      <c r="Q12" s="73">
        <f t="shared" si="1"/>
        <v>3.0110353415183368</v>
      </c>
      <c r="T12" s="85">
        <f t="shared" si="5"/>
        <v>1.1082083928725528E-2</v>
      </c>
      <c r="U12" s="86">
        <f>T12*'Assumed Values'!$D$8</f>
        <v>0</v>
      </c>
    </row>
    <row r="13" spans="2:21" x14ac:dyDescent="0.25">
      <c r="B13" s="27"/>
      <c r="C13" s="68"/>
      <c r="F13" s="70">
        <f t="shared" si="2"/>
        <v>2027</v>
      </c>
      <c r="G13" s="80">
        <f t="shared" si="6"/>
        <v>2659.9009386778621</v>
      </c>
      <c r="H13" s="79">
        <f t="shared" ref="H13:H36" si="8">$C$10</f>
        <v>4.3328465684040474E-3</v>
      </c>
      <c r="I13" s="70">
        <f>IF(AND(F13&gt;='Inputs &amp; Outputs'!B$13,F13&lt;'Inputs &amp; Outputs'!B$13+'Inputs &amp; Outputs'!B$19),1,0)</f>
        <v>1</v>
      </c>
      <c r="J13" s="71">
        <f>I13*'Inputs &amp; Outputs'!B$16*'Benefit Calculations'!G13*('Benefit Calculations'!C$4-'Benefit Calculations'!C$5)</f>
        <v>42.808080377103352</v>
      </c>
      <c r="K13" s="89">
        <f t="shared" si="3"/>
        <v>1.2268846119471762E-2</v>
      </c>
      <c r="L13" s="72">
        <f>K13*'Assumed Values'!$C$8</f>
        <v>92.114496664993993</v>
      </c>
      <c r="M13" s="73">
        <f t="shared" si="0"/>
        <v>50.104182917245204</v>
      </c>
      <c r="N13" s="88">
        <f>I13*'Inputs &amp; Outputs'!B$16*'Benefit Calculations'!G13*('Benefit Calculations'!D$4-'Benefit Calculations'!D$5)</f>
        <v>9.516796766201427</v>
      </c>
      <c r="O13" s="89">
        <f t="shared" si="4"/>
        <v>2.7275251318501772E-3</v>
      </c>
      <c r="P13" s="72">
        <f>ABS(O13*'Assumed Values'!$C$7)</f>
        <v>5.1959353761745879</v>
      </c>
      <c r="Q13" s="73">
        <f t="shared" si="1"/>
        <v>2.8262445753880163</v>
      </c>
      <c r="T13" s="85">
        <f t="shared" si="5"/>
        <v>1.1130100898046872E-2</v>
      </c>
      <c r="U13" s="86">
        <f>T13*'Assumed Values'!$D$8</f>
        <v>0</v>
      </c>
    </row>
    <row r="14" spans="2:21" x14ac:dyDescent="0.25">
      <c r="B14" s="27"/>
      <c r="C14" s="68"/>
      <c r="F14" s="70">
        <f t="shared" si="2"/>
        <v>2028</v>
      </c>
      <c r="G14" s="80">
        <f t="shared" si="6"/>
        <v>2671.4258813323072</v>
      </c>
      <c r="H14" s="79">
        <f t="shared" si="8"/>
        <v>4.3328465684040474E-3</v>
      </c>
      <c r="I14" s="70">
        <f>IF(AND(F14&gt;='Inputs &amp; Outputs'!B$13,F14&lt;'Inputs &amp; Outputs'!B$13+'Inputs &amp; Outputs'!B$19),1,0)</f>
        <v>1</v>
      </c>
      <c r="J14" s="71">
        <f>I14*'Inputs &amp; Outputs'!B$16*'Benefit Calculations'!G14*('Benefit Calculations'!C$4-'Benefit Calculations'!C$5)</f>
        <v>42.993561221265253</v>
      </c>
      <c r="K14" s="89">
        <f t="shared" si="3"/>
        <v>1.2322005147278796E-2</v>
      </c>
      <c r="L14" s="72">
        <f>K14*'Assumed Values'!$C$8</f>
        <v>92.513614645769195</v>
      </c>
      <c r="M14" s="73">
        <f t="shared" si="0"/>
        <v>47.02923051800083</v>
      </c>
      <c r="N14" s="88">
        <f>I14*'Inputs &amp; Outputs'!B$16*'Benefit Calculations'!G14*('Benefit Calculations'!D$4-'Benefit Calculations'!D$5)</f>
        <v>9.5580315864120617</v>
      </c>
      <c r="O14" s="89">
        <f t="shared" si="4"/>
        <v>2.7393430797579498E-3</v>
      </c>
      <c r="P14" s="72">
        <f>ABS(O14*'Assumed Values'!$C$7)</f>
        <v>5.2184485669388945</v>
      </c>
      <c r="Q14" s="73">
        <f t="shared" si="1"/>
        <v>2.6527946350448195</v>
      </c>
      <c r="T14" s="85">
        <f t="shared" si="5"/>
        <v>1.1178325917528965E-2</v>
      </c>
      <c r="U14" s="86">
        <f>T14*'Assumed Values'!$D$8</f>
        <v>0</v>
      </c>
    </row>
    <row r="15" spans="2:21" x14ac:dyDescent="0.25">
      <c r="B15" s="27"/>
      <c r="C15" s="69"/>
      <c r="F15" s="70">
        <f t="shared" si="2"/>
        <v>2029</v>
      </c>
      <c r="G15" s="80">
        <f t="shared" si="6"/>
        <v>2683.0007597949834</v>
      </c>
      <c r="H15" s="79">
        <f t="shared" si="8"/>
        <v>4.3328465684040474E-3</v>
      </c>
      <c r="I15" s="70">
        <f>IF(AND(F15&gt;='Inputs &amp; Outputs'!B$13,F15&lt;'Inputs &amp; Outputs'!B$13+'Inputs &amp; Outputs'!B$19),1,0)</f>
        <v>1</v>
      </c>
      <c r="J15" s="71">
        <f>I15*'Inputs &amp; Outputs'!B$16*'Benefit Calculations'!G15*('Benefit Calculations'!C$4-'Benefit Calculations'!C$5)</f>
        <v>43.179845725466272</v>
      </c>
      <c r="K15" s="89">
        <f t="shared" si="3"/>
        <v>1.2375394504997035E-2</v>
      </c>
      <c r="L15" s="72">
        <f>K15*'Assumed Values'!$C$8</f>
        <v>92.914461943517736</v>
      </c>
      <c r="M15" s="73">
        <f t="shared" si="0"/>
        <v>44.142991549593845</v>
      </c>
      <c r="N15" s="88">
        <f>I15*'Inputs &amp; Outputs'!B$16*'Benefit Calculations'!G15*('Benefit Calculations'!D$4-'Benefit Calculations'!D$5)</f>
        <v>9.5994450707719441</v>
      </c>
      <c r="O15" s="89">
        <f t="shared" si="4"/>
        <v>2.7512122330207605E-3</v>
      </c>
      <c r="P15" s="72">
        <f>ABS(O15*'Assumed Values'!$C$7)</f>
        <v>5.2410593039045485</v>
      </c>
      <c r="Q15" s="73">
        <f t="shared" si="1"/>
        <v>2.4899895207251905</v>
      </c>
      <c r="T15" s="85">
        <f t="shared" si="5"/>
        <v>1.1226759888621232E-2</v>
      </c>
      <c r="U15" s="86">
        <f>T15*'Assumed Values'!$D$8</f>
        <v>0</v>
      </c>
    </row>
    <row r="16" spans="2:21" x14ac:dyDescent="0.25">
      <c r="B16" s="27"/>
      <c r="C16" s="69"/>
      <c r="F16" s="70">
        <f t="shared" si="2"/>
        <v>2030</v>
      </c>
      <c r="G16" s="80">
        <f t="shared" si="6"/>
        <v>2694.6257904300865</v>
      </c>
      <c r="H16" s="79">
        <f t="shared" si="8"/>
        <v>4.3328465684040474E-3</v>
      </c>
      <c r="I16" s="70">
        <f>IF(AND(F16&gt;='Inputs &amp; Outputs'!B$13,F16&lt;'Inputs &amp; Outputs'!B$13+'Inputs &amp; Outputs'!B$19),1,0)</f>
        <v>1</v>
      </c>
      <c r="J16" s="71">
        <f>I16*'Inputs &amp; Outputs'!B$16*'Benefit Calculations'!G16*('Benefit Calculations'!C$4-'Benefit Calculations'!C$5)</f>
        <v>43.366937371842077</v>
      </c>
      <c r="K16" s="89">
        <f t="shared" si="3"/>
        <v>1.2429015190610659E-2</v>
      </c>
      <c r="L16" s="72">
        <f>K16*'Assumed Values'!$C$8</f>
        <v>93.317046051104825</v>
      </c>
      <c r="M16" s="73">
        <f t="shared" si="0"/>
        <v>41.433884447708976</v>
      </c>
      <c r="N16" s="88">
        <f>I16*'Inputs &amp; Outputs'!B$16*'Benefit Calculations'!G16*('Benefit Calculations'!D$4-'Benefit Calculations'!D$5)</f>
        <v>9.6410379934054209</v>
      </c>
      <c r="O16" s="89">
        <f t="shared" si="4"/>
        <v>2.7631328135035551E-3</v>
      </c>
      <c r="P16" s="72">
        <f>ABS(O16*'Assumed Values'!$C$7)</f>
        <v>5.2637680097242727</v>
      </c>
      <c r="Q16" s="73">
        <f t="shared" si="1"/>
        <v>2.3371759469863802</v>
      </c>
      <c r="T16" s="85">
        <f t="shared" si="5"/>
        <v>1.127540371667894E-2</v>
      </c>
      <c r="U16" s="86">
        <f>T16*'Assumed Values'!$D$8</f>
        <v>0</v>
      </c>
    </row>
    <row r="17" spans="2:21" x14ac:dyDescent="0.25">
      <c r="B17" s="27"/>
      <c r="C17" s="69"/>
      <c r="F17" s="70">
        <f t="shared" si="2"/>
        <v>2031</v>
      </c>
      <c r="G17" s="80">
        <f t="shared" si="6"/>
        <v>2706.3011905392846</v>
      </c>
      <c r="H17" s="79">
        <f t="shared" si="8"/>
        <v>4.3328465684040474E-3</v>
      </c>
      <c r="I17" s="70">
        <f>IF(AND(F17&gt;='Inputs &amp; Outputs'!B$13,F17&lt;'Inputs &amp; Outputs'!B$13+'Inputs &amp; Outputs'!B$19),1,0)</f>
        <v>1</v>
      </c>
      <c r="J17" s="71">
        <f>I17*'Inputs &amp; Outputs'!B$16*'Benefit Calculations'!G17*('Benefit Calculations'!C$4-'Benefit Calculations'!C$5)</f>
        <v>43.554839657615851</v>
      </c>
      <c r="K17" s="89">
        <f t="shared" si="3"/>
        <v>1.2482868206427937E-2</v>
      </c>
      <c r="L17" s="72">
        <f>K17*'Assumed Values'!$C$8</f>
        <v>93.721374493860949</v>
      </c>
      <c r="M17" s="73">
        <f t="shared" si="0"/>
        <v>38.891038422199877</v>
      </c>
      <c r="N17" s="88">
        <f>I17*'Inputs &amp; Outputs'!B$16*'Benefit Calculations'!G17*('Benefit Calculations'!D$4-'Benefit Calculations'!D$5)</f>
        <v>9.6828111317910004</v>
      </c>
      <c r="O17" s="89">
        <f t="shared" si="4"/>
        <v>2.7751050440325891E-3</v>
      </c>
      <c r="P17" s="72">
        <f>ABS(O17*'Assumed Values'!$C$7)</f>
        <v>5.286575108882082</v>
      </c>
      <c r="Q17" s="73">
        <f t="shared" si="1"/>
        <v>2.1937407212785387</v>
      </c>
      <c r="T17" s="85">
        <f t="shared" si="5"/>
        <v>1.1324258310980122E-2</v>
      </c>
      <c r="U17" s="86">
        <f>T17*'Assumed Values'!$D$8</f>
        <v>0</v>
      </c>
    </row>
    <row r="18" spans="2:21" x14ac:dyDescent="0.25">
      <c r="F18" s="70">
        <f t="shared" si="2"/>
        <v>2032</v>
      </c>
      <c r="G18" s="80">
        <f t="shared" si="6"/>
        <v>2718.0271783657804</v>
      </c>
      <c r="H18" s="79">
        <f t="shared" si="8"/>
        <v>4.3328465684040474E-3</v>
      </c>
      <c r="I18" s="70">
        <f>IF(AND(F18&gt;='Inputs &amp; Outputs'!B$13,F18&lt;'Inputs &amp; Outputs'!B$13+'Inputs &amp; Outputs'!B$19),1,0)</f>
        <v>1</v>
      </c>
      <c r="J18" s="71">
        <f>I18*'Inputs &amp; Outputs'!B$16*'Benefit Calculations'!G18*('Benefit Calculations'!C$4-'Benefit Calculations'!C$5)</f>
        <v>43.74355609516374</v>
      </c>
      <c r="K18" s="89">
        <f t="shared" si="3"/>
        <v>1.2536954559099998E-2</v>
      </c>
      <c r="L18" s="72">
        <f>K18*'Assumed Values'!$C$8</f>
        <v>94.127454829722794</v>
      </c>
      <c r="M18" s="73">
        <f t="shared" si="0"/>
        <v>36.504249836045965</v>
      </c>
      <c r="N18" s="88">
        <f>I18*'Inputs &amp; Outputs'!B$16*'Benefit Calculations'!G18*('Benefit Calculations'!D$4-'Benefit Calculations'!D$5)</f>
        <v>9.7247652667758864</v>
      </c>
      <c r="O18" s="89">
        <f t="shared" si="4"/>
        <v>2.7871291483995862E-3</v>
      </c>
      <c r="P18" s="72">
        <f>ABS(O18*'Assumed Values'!$C$7)</f>
        <v>5.3094810277012119</v>
      </c>
      <c r="Q18" s="73">
        <f t="shared" si="1"/>
        <v>2.059108283396915</v>
      </c>
      <c r="T18" s="85">
        <f t="shared" si="5"/>
        <v>1.1373324584742571E-2</v>
      </c>
      <c r="U18" s="86">
        <f>T18*'Assumed Values'!$D$8</f>
        <v>0</v>
      </c>
    </row>
    <row r="19" spans="2:21" x14ac:dyDescent="0.25">
      <c r="F19" s="70">
        <f t="shared" si="2"/>
        <v>2033</v>
      </c>
      <c r="G19" s="80">
        <f t="shared" si="6"/>
        <v>2729.8039730983915</v>
      </c>
      <c r="H19" s="79">
        <f t="shared" si="8"/>
        <v>4.3328465684040474E-3</v>
      </c>
      <c r="I19" s="70">
        <f>IF(AND(F19&gt;='Inputs &amp; Outputs'!B$13,F19&lt;'Inputs &amp; Outputs'!B$13+'Inputs &amp; Outputs'!B$19),1,0)</f>
        <v>1</v>
      </c>
      <c r="J19" s="71">
        <f>I19*'Inputs &amp; Outputs'!B$16*'Benefit Calculations'!G19*('Benefit Calculations'!C$4-'Benefit Calculations'!C$5)</f>
        <v>43.933090212080465</v>
      </c>
      <c r="K19" s="89">
        <f t="shared" si="3"/>
        <v>1.2591275259639633E-2</v>
      </c>
      <c r="L19" s="72">
        <f>K19*'Assumed Values'!$C$8</f>
        <v>94.535294649374364</v>
      </c>
      <c r="M19" s="73">
        <f t="shared" si="0"/>
        <v>34.263941261383401</v>
      </c>
      <c r="N19" s="88">
        <f>I19*'Inputs &amp; Outputs'!B$16*'Benefit Calculations'!G19*('Benefit Calculations'!D$4-'Benefit Calculations'!D$5)</f>
        <v>9.7669011825905709</v>
      </c>
      <c r="O19" s="89">
        <f t="shared" si="4"/>
        <v>2.799205351365928E-3</v>
      </c>
      <c r="P19" s="72">
        <f>ABS(O19*'Assumed Values'!$C$7)</f>
        <v>5.3324861943520929</v>
      </c>
      <c r="Q19" s="73">
        <f t="shared" si="1"/>
        <v>1.9327383959407505</v>
      </c>
      <c r="T19" s="85">
        <f t="shared" si="5"/>
        <v>1.1422603455140921E-2</v>
      </c>
      <c r="U19" s="86">
        <f>T19*'Assumed Values'!$D$8</f>
        <v>0</v>
      </c>
    </row>
    <row r="20" spans="2:21" x14ac:dyDescent="0.25">
      <c r="F20" s="70">
        <f t="shared" si="2"/>
        <v>2034</v>
      </c>
      <c r="G20" s="80">
        <f t="shared" si="6"/>
        <v>2741.6317948756464</v>
      </c>
      <c r="H20" s="79">
        <f t="shared" si="8"/>
        <v>4.3328465684040474E-3</v>
      </c>
      <c r="I20" s="70">
        <f>IF(AND(F20&gt;='Inputs &amp; Outputs'!B$13,F20&lt;'Inputs &amp; Outputs'!B$13+'Inputs &amp; Outputs'!B$19),1,0)</f>
        <v>1</v>
      </c>
      <c r="J20" s="71">
        <f>I20*'Inputs &amp; Outputs'!B$16*'Benefit Calculations'!G20*('Benefit Calculations'!C$4-'Benefit Calculations'!C$5)</f>
        <v>44.123445551245261</v>
      </c>
      <c r="K20" s="89">
        <f t="shared" si="3"/>
        <v>1.2645831323440193E-2</v>
      </c>
      <c r="L20" s="72">
        <f>K20*'Assumed Values'!$C$8</f>
        <v>94.944901576388972</v>
      </c>
      <c r="M20" s="73">
        <f t="shared" si="0"/>
        <v>32.161123048315687</v>
      </c>
      <c r="N20" s="88">
        <f>I20*'Inputs &amp; Outputs'!B$16*'Benefit Calculations'!G20*('Benefit Calculations'!D$4-'Benefit Calculations'!D$5)</f>
        <v>9.8092196668634983</v>
      </c>
      <c r="O20" s="89">
        <f t="shared" si="4"/>
        <v>2.811333878666852E-3</v>
      </c>
      <c r="P20" s="72">
        <f>ABS(O20*'Assumed Values'!$C$7)</f>
        <v>5.3555910388603527</v>
      </c>
      <c r="Q20" s="73">
        <f t="shared" si="1"/>
        <v>1.8141239765114254</v>
      </c>
      <c r="T20" s="85">
        <f t="shared" si="5"/>
        <v>1.1472095843323768E-2</v>
      </c>
      <c r="U20" s="86">
        <f>T20*'Assumed Values'!$D$8</f>
        <v>0</v>
      </c>
    </row>
    <row r="21" spans="2:21" x14ac:dyDescent="0.25">
      <c r="F21" s="70">
        <f t="shared" si="2"/>
        <v>2035</v>
      </c>
      <c r="G21" s="80">
        <f t="shared" si="6"/>
        <v>2753.5108647899006</v>
      </c>
      <c r="H21" s="79">
        <f t="shared" si="8"/>
        <v>4.3328465684040474E-3</v>
      </c>
      <c r="I21" s="70">
        <f>IF(AND(F21&gt;='Inputs &amp; Outputs'!B$13,F21&lt;'Inputs &amp; Outputs'!B$13+'Inputs &amp; Outputs'!B$19),1,0)</f>
        <v>1</v>
      </c>
      <c r="J21" s="71">
        <f>I21*'Inputs &amp; Outputs'!B$16*'Benefit Calculations'!G21*('Benefit Calculations'!C$4-'Benefit Calculations'!C$5)</f>
        <v>44.314625670888127</v>
      </c>
      <c r="K21" s="89">
        <f t="shared" si="3"/>
        <v>1.2700623770294574E-2</v>
      </c>
      <c r="L21" s="72">
        <f>K21*'Assumed Values'!$C$8</f>
        <v>95.356283267371666</v>
      </c>
      <c r="M21" s="73">
        <f t="shared" si="0"/>
        <v>30.187357252291211</v>
      </c>
      <c r="N21" s="88">
        <f>I21*'Inputs &amp; Outputs'!B$16*'Benefit Calculations'!G21*('Benefit Calculations'!D$4-'Benefit Calculations'!D$5)</f>
        <v>9.8517215106357892</v>
      </c>
      <c r="O21" s="89">
        <f t="shared" si="4"/>
        <v>2.8235149570156716E-3</v>
      </c>
      <c r="P21" s="72">
        <f>ABS(O21*'Assumed Values'!$C$7)</f>
        <v>5.3787959931148546</v>
      </c>
      <c r="Q21" s="73">
        <f t="shared" si="1"/>
        <v>1.7027890629511331</v>
      </c>
      <c r="T21" s="85">
        <f t="shared" si="5"/>
        <v>1.1521802674430913E-2</v>
      </c>
      <c r="U21" s="86">
        <f>T21*'Assumed Values'!$D$8</f>
        <v>0</v>
      </c>
    </row>
    <row r="22" spans="2:21" x14ac:dyDescent="0.25">
      <c r="F22" s="70">
        <f t="shared" si="2"/>
        <v>2036</v>
      </c>
      <c r="G22" s="80">
        <f t="shared" si="6"/>
        <v>2765.4414048914687</v>
      </c>
      <c r="H22" s="79">
        <f t="shared" si="8"/>
        <v>4.3328465684040474E-3</v>
      </c>
      <c r="I22" s="70">
        <f>IF(AND(F22&gt;='Inputs &amp; Outputs'!B$13,F22&lt;'Inputs &amp; Outputs'!B$13+'Inputs &amp; Outputs'!B$19),1,0)</f>
        <v>1</v>
      </c>
      <c r="J22" s="71">
        <f>I22*'Inputs &amp; Outputs'!B$16*'Benefit Calculations'!G22*('Benefit Calculations'!C$4-'Benefit Calculations'!C$5)</f>
        <v>44.506634144656346</v>
      </c>
      <c r="K22" s="89">
        <f t="shared" si="3"/>
        <v>1.2755653624414286E-2</v>
      </c>
      <c r="L22" s="72">
        <f>K22*'Assumed Values'!$C$8</f>
        <v>95.769447412102465</v>
      </c>
      <c r="M22" s="73">
        <f t="shared" si="0"/>
        <v>28.334723775299988</v>
      </c>
      <c r="N22" s="88">
        <f>I22*'Inputs &amp; Outputs'!B$16*'Benefit Calculations'!G22*('Benefit Calculations'!D$4-'Benefit Calculations'!D$5)</f>
        <v>9.8944075083760179</v>
      </c>
      <c r="O22" s="89">
        <f t="shared" si="4"/>
        <v>2.835748814108014E-3</v>
      </c>
      <c r="P22" s="72">
        <f>ABS(O22*'Assumed Values'!$C$7)</f>
        <v>5.4021014908757667</v>
      </c>
      <c r="Q22" s="73">
        <f t="shared" si="1"/>
        <v>1.5982869034572491</v>
      </c>
      <c r="T22" s="85">
        <f t="shared" si="5"/>
        <v>1.1571724877610649E-2</v>
      </c>
      <c r="U22" s="86">
        <f>T22*'Assumed Values'!$D$8</f>
        <v>0</v>
      </c>
    </row>
    <row r="23" spans="2:21" x14ac:dyDescent="0.25">
      <c r="F23" s="70">
        <f t="shared" si="2"/>
        <v>2037</v>
      </c>
      <c r="G23" s="80">
        <f t="shared" si="6"/>
        <v>2777.4236381927753</v>
      </c>
      <c r="H23" s="79">
        <f t="shared" si="8"/>
        <v>4.3328465684040474E-3</v>
      </c>
      <c r="I23" s="70">
        <f>IF(AND(F23&gt;='Inputs &amp; Outputs'!B$13,F23&lt;'Inputs &amp; Outputs'!B$13+'Inputs &amp; Outputs'!B$19),1,0)</f>
        <v>1</v>
      </c>
      <c r="J23" s="71">
        <f>I23*'Inputs &amp; Outputs'!B$16*'Benefit Calculations'!G23*('Benefit Calculations'!C$4-'Benefit Calculations'!C$5)</f>
        <v>44.699474561681235</v>
      </c>
      <c r="K23" s="89">
        <f t="shared" si="3"/>
        <v>1.2810921914448581E-2</v>
      </c>
      <c r="L23" s="72">
        <f>K23*'Assumed Values'!$C$8</f>
        <v>96.184401733679948</v>
      </c>
      <c r="M23" s="73">
        <f t="shared" si="0"/>
        <v>26.595788585024742</v>
      </c>
      <c r="N23" s="88">
        <f>I23*'Inputs &amp; Outputs'!B$16*'Benefit Calculations'!G23*('Benefit Calculations'!D$4-'Benefit Calculations'!D$5)</f>
        <v>9.9372784579950775</v>
      </c>
      <c r="O23" s="89">
        <f t="shared" si="4"/>
        <v>2.8480356786260781E-3</v>
      </c>
      <c r="P23" s="72">
        <f>ABS(O23*'Assumed Values'!$C$7)</f>
        <v>5.4255079677826785</v>
      </c>
      <c r="Q23" s="73">
        <f t="shared" si="1"/>
        <v>1.5001981639086159</v>
      </c>
      <c r="T23" s="85">
        <f t="shared" si="5"/>
        <v>1.162186338603712E-2</v>
      </c>
      <c r="U23" s="86">
        <f>T23*'Assumed Values'!$D$8</f>
        <v>0</v>
      </c>
    </row>
    <row r="24" spans="2:21" x14ac:dyDescent="0.25">
      <c r="F24" s="70">
        <f t="shared" si="2"/>
        <v>2038</v>
      </c>
      <c r="G24" s="80">
        <f t="shared" si="6"/>
        <v>2789.4577886725233</v>
      </c>
      <c r="H24" s="79">
        <f t="shared" si="8"/>
        <v>4.3328465684040474E-3</v>
      </c>
      <c r="I24" s="70">
        <f>IF(AND(F24&gt;='Inputs &amp; Outputs'!B$13,F24&lt;'Inputs &amp; Outputs'!B$13+'Inputs &amp; Outputs'!B$19),1,0)</f>
        <v>1</v>
      </c>
      <c r="J24" s="71">
        <f>I24*'Inputs &amp; Outputs'!B$16*'Benefit Calculations'!G24*('Benefit Calculations'!C$4-'Benefit Calculations'!C$5)</f>
        <v>44.893150526645286</v>
      </c>
      <c r="K24" s="89">
        <f t="shared" si="3"/>
        <v>1.2866429673503692E-2</v>
      </c>
      <c r="L24" s="72">
        <f>K24*'Assumed Values'!$C$8</f>
        <v>96.601153988665729</v>
      </c>
      <c r="M24" s="73">
        <f t="shared" si="0"/>
        <v>24.963573884419972</v>
      </c>
      <c r="N24" s="88">
        <f>I24*'Inputs &amp; Outputs'!B$16*'Benefit Calculations'!G24*('Benefit Calculations'!D$4-'Benefit Calculations'!D$5)</f>
        <v>9.9803351608610775</v>
      </c>
      <c r="O24" s="89">
        <f t="shared" si="4"/>
        <v>2.8603757802429055E-3</v>
      </c>
      <c r="P24" s="72">
        <f>ABS(O24*'Assumed Values'!$C$7)</f>
        <v>5.4490158613627351</v>
      </c>
      <c r="Q24" s="73">
        <f t="shared" si="1"/>
        <v>1.4081292452103118</v>
      </c>
      <c r="T24" s="85">
        <f t="shared" si="5"/>
        <v>1.1672219136927776E-2</v>
      </c>
      <c r="U24" s="86">
        <f>T24*'Assumed Values'!$D$8</f>
        <v>0</v>
      </c>
    </row>
    <row r="25" spans="2:21" x14ac:dyDescent="0.25">
      <c r="F25" s="70">
        <f t="shared" si="2"/>
        <v>2039</v>
      </c>
      <c r="G25" s="80">
        <f t="shared" si="6"/>
        <v>2801.5440812798811</v>
      </c>
      <c r="H25" s="79">
        <f t="shared" si="8"/>
        <v>4.3328465684040474E-3</v>
      </c>
      <c r="I25" s="70">
        <f>IF(AND(F25&gt;='Inputs &amp; Outputs'!B$13,F25&lt;'Inputs &amp; Outputs'!B$13+'Inputs &amp; Outputs'!B$19),1,0)</f>
        <v>1</v>
      </c>
      <c r="J25" s="71">
        <f>I25*'Inputs &amp; Outputs'!B$16*'Benefit Calculations'!G25*('Benefit Calculations'!C$4-'Benefit Calculations'!C$5)</f>
        <v>45.087665659849506</v>
      </c>
      <c r="K25" s="89">
        <f t="shared" si="3"/>
        <v>1.2922177939162146E-2</v>
      </c>
      <c r="L25" s="72">
        <f>K25*'Assumed Values'!$C$8</f>
        <v>97.019711967229384</v>
      </c>
      <c r="M25" s="73">
        <f t="shared" si="0"/>
        <v>23.431530112018859</v>
      </c>
      <c r="N25" s="88">
        <f>I25*'Inputs &amp; Outputs'!B$16*'Benefit Calculations'!G25*('Benefit Calculations'!D$4-'Benefit Calculations'!D$5)</f>
        <v>10.023578421814337</v>
      </c>
      <c r="O25" s="89">
        <f t="shared" si="4"/>
        <v>2.8727693496266773E-3</v>
      </c>
      <c r="P25" s="72">
        <f>ABS(O25*'Assumed Values'!$C$7)</f>
        <v>5.4726256110388203</v>
      </c>
      <c r="Q25" s="73">
        <f t="shared" si="1"/>
        <v>1.3217107039049445</v>
      </c>
      <c r="T25" s="85">
        <f t="shared" si="5"/>
        <v>1.1722793071560871E-2</v>
      </c>
      <c r="U25" s="86">
        <f>T25*'Assumed Values'!$D$8</f>
        <v>0</v>
      </c>
    </row>
    <row r="26" spans="2:21" x14ac:dyDescent="0.25">
      <c r="F26" s="70">
        <f t="shared" si="2"/>
        <v>2040</v>
      </c>
      <c r="G26" s="80">
        <f t="shared" si="6"/>
        <v>2813.6827419386873</v>
      </c>
      <c r="H26" s="79">
        <f t="shared" si="8"/>
        <v>4.3328465684040474E-3</v>
      </c>
      <c r="I26" s="70">
        <f>IF(AND(F26&gt;='Inputs &amp; Outputs'!B$13,F26&lt;'Inputs &amp; Outputs'!B$13+'Inputs &amp; Outputs'!B$19),1,0)</f>
        <v>1</v>
      </c>
      <c r="J26" s="71">
        <f>I26*'Inputs &amp; Outputs'!B$16*'Benefit Calculations'!G26*('Benefit Calculations'!C$4-'Benefit Calculations'!C$5)</f>
        <v>45.283023597281137</v>
      </c>
      <c r="K26" s="89">
        <f t="shared" si="3"/>
        <v>1.2978167753502152E-2</v>
      </c>
      <c r="L26" s="72">
        <f>K26*'Assumed Values'!$C$8</f>
        <v>97.440083493294154</v>
      </c>
      <c r="M26" s="73">
        <f t="shared" si="0"/>
        <v>21.993509660614187</v>
      </c>
      <c r="N26" s="88">
        <f>I26*'Inputs &amp; Outputs'!B$16*'Benefit Calculations'!G26*('Benefit Calculations'!D$4-'Benefit Calculations'!D$5)</f>
        <v>10.067009049182426</v>
      </c>
      <c r="O26" s="89">
        <f t="shared" si="4"/>
        <v>2.8852166184450238E-3</v>
      </c>
      <c r="P26" s="72">
        <f>ABS(O26*'Assumed Values'!$C$7)</f>
        <v>5.4963376581377705</v>
      </c>
      <c r="Q26" s="73">
        <f t="shared" si="1"/>
        <v>1.2405957697128807</v>
      </c>
      <c r="T26" s="85">
        <f t="shared" si="5"/>
        <v>1.1773586135293095E-2</v>
      </c>
      <c r="U26" s="86">
        <f>T26*'Assumed Values'!$D$8</f>
        <v>0</v>
      </c>
    </row>
    <row r="27" spans="2:21" x14ac:dyDescent="0.25">
      <c r="F27" s="70">
        <f t="shared" si="2"/>
        <v>2041</v>
      </c>
      <c r="G27" s="80">
        <f t="shared" si="6"/>
        <v>2825.8739975516742</v>
      </c>
      <c r="H27" s="79">
        <f t="shared" si="8"/>
        <v>4.3328465684040474E-3</v>
      </c>
      <c r="I27" s="70">
        <f>IF(AND(F27&gt;='Inputs &amp; Outputs'!B$13,F27&lt;'Inputs &amp; Outputs'!B$13+'Inputs &amp; Outputs'!B$19),1,0)</f>
        <v>1</v>
      </c>
      <c r="J27" s="71">
        <f>I27*'Inputs &amp; Outputs'!B$16*'Benefit Calculations'!G27*('Benefit Calculations'!C$4-'Benefit Calculations'!C$5)</f>
        <v>45.479227990681579</v>
      </c>
      <c r="K27" s="89">
        <f t="shared" si="3"/>
        <v>1.3034400163117086E-2</v>
      </c>
      <c r="L27" s="72">
        <f>K27*'Assumed Values'!$C$8</f>
        <v>97.862276424683074</v>
      </c>
      <c r="M27" s="73">
        <f t="shared" si="0"/>
        <v>20.643742208854523</v>
      </c>
      <c r="N27" s="88">
        <f>I27*'Inputs &amp; Outputs'!B$16*'Benefit Calculations'!G27*('Benefit Calculations'!D$4-'Benefit Calculations'!D$5)</f>
        <v>10.110627854795268</v>
      </c>
      <c r="O27" s="89">
        <f t="shared" si="4"/>
        <v>2.8977178193693555E-3</v>
      </c>
      <c r="P27" s="72">
        <f>ABS(O27*'Assumed Values'!$C$7)</f>
        <v>5.5201524458986224</v>
      </c>
      <c r="Q27" s="73">
        <f t="shared" si="1"/>
        <v>1.1644589540527641</v>
      </c>
      <c r="T27" s="85">
        <f t="shared" si="5"/>
        <v>1.1824599277577209E-2</v>
      </c>
      <c r="U27" s="86">
        <f>T27*'Assumed Values'!$D$8</f>
        <v>0</v>
      </c>
    </row>
    <row r="28" spans="2:21" x14ac:dyDescent="0.25">
      <c r="F28" s="70">
        <f t="shared" si="2"/>
        <v>2042</v>
      </c>
      <c r="G28" s="80">
        <f t="shared" si="6"/>
        <v>2838.1180760047082</v>
      </c>
      <c r="H28" s="79">
        <f t="shared" si="8"/>
        <v>4.3328465684040474E-3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2850.4152061710506</v>
      </c>
      <c r="H29" s="79">
        <f t="shared" si="8"/>
        <v>4.3328465684040474E-3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2862.7656179156356</v>
      </c>
      <c r="H30" s="79">
        <f t="shared" si="8"/>
        <v>4.3328465684040474E-3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2938</v>
      </c>
      <c r="H31" s="79">
        <f t="shared" si="8"/>
        <v>4.3328465684040474E-3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2950.7299032179712</v>
      </c>
      <c r="H32" s="79">
        <f t="shared" si="8"/>
        <v>4.3328465684040474E-3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2963.5149631534164</v>
      </c>
      <c r="H33" s="79">
        <f t="shared" si="8"/>
        <v>4.3328465684040474E-3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2976.3554187919299</v>
      </c>
      <c r="H34" s="79">
        <f t="shared" si="8"/>
        <v>4.3328465684040474E-3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2989.2515101545932</v>
      </c>
      <c r="H35" s="79">
        <f t="shared" si="8"/>
        <v>4.3328465684040474E-3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3002.2034783024633</v>
      </c>
      <c r="H36" s="79">
        <f t="shared" si="8"/>
        <v>4.3328465684040474E-3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872.65324929996405</v>
      </c>
      <c r="K37" s="71">
        <f t="shared" ref="K37:Q37" si="9">SUM(K4:K36)</f>
        <v>0.25010344628872494</v>
      </c>
      <c r="L37" s="74">
        <f t="shared" si="9"/>
        <v>1877.7766747357471</v>
      </c>
      <c r="M37" s="75">
        <f t="shared" si="9"/>
        <v>803.89895074747096</v>
      </c>
      <c r="N37" s="88">
        <f t="shared" si="9"/>
        <v>194.00224321656495</v>
      </c>
      <c r="O37" s="88">
        <f t="shared" si="9"/>
        <v>5.5601270785537324E-2</v>
      </c>
      <c r="P37" s="76">
        <f t="shared" si="9"/>
        <v>105.92042084644858</v>
      </c>
      <c r="Q37" s="75">
        <f t="shared" si="9"/>
        <v>45.345815786732658</v>
      </c>
      <c r="T37" s="85">
        <f>SUM(T4:T36)</f>
        <v>0.22688984481799068</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4" t="s">
        <v>118</v>
      </c>
      <c r="B1" s="124"/>
      <c r="C1" s="124"/>
      <c r="D1" s="124"/>
      <c r="E1" s="124"/>
      <c r="F1" s="124"/>
      <c r="G1" s="124"/>
      <c r="H1" s="124"/>
      <c r="I1" s="124"/>
      <c r="J1" s="124"/>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4" t="s">
        <v>118</v>
      </c>
      <c r="B1" s="124"/>
      <c r="C1" s="124"/>
      <c r="D1" s="124"/>
      <c r="E1" s="124"/>
      <c r="F1" s="124"/>
      <c r="G1" s="124"/>
      <c r="H1" s="124"/>
      <c r="I1" s="124"/>
      <c r="J1" s="124"/>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2018-10-24T23:11:55Z</dcterms:modified>
</cp:coreProperties>
</file>