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filerb\metroshared\Deleted After 30 Days\2018 TIP Call for Projects\Downtown-Midtown Bus Operations App\Downtown-Midtown Bus Operations Final\"/>
    </mc:Choice>
  </mc:AlternateContent>
  <xr:revisionPtr revIDLastSave="0" documentId="10_ncr:100000_{A4D91132-AA7F-4C5D-A7CA-407250E29FA8}" xr6:coauthVersionLast="31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4" r:id="rId1"/>
    <sheet name="Project Budget" sheetId="3" r:id="rId2"/>
    <sheet name="Backup" sheetId="5" r:id="rId3"/>
  </sheets>
  <calcPr calcId="179017"/>
</workbook>
</file>

<file path=xl/calcChain.xml><?xml version="1.0" encoding="utf-8"?>
<calcChain xmlns="http://schemas.openxmlformats.org/spreadsheetml/2006/main">
  <c r="E17" i="3" l="1"/>
  <c r="E14" i="3"/>
  <c r="E13" i="3"/>
  <c r="G32" i="5" l="1"/>
  <c r="G29" i="5"/>
  <c r="G27" i="5"/>
  <c r="G3" i="5"/>
  <c r="P18" i="5" l="1"/>
  <c r="P17" i="5"/>
  <c r="N15" i="5"/>
  <c r="P15" i="5" s="1"/>
  <c r="P14" i="5"/>
  <c r="P9" i="5"/>
  <c r="P10" i="5" s="1"/>
  <c r="P11" i="5" s="1"/>
  <c r="E8" i="5"/>
  <c r="E7" i="5"/>
  <c r="E6" i="5"/>
  <c r="E5" i="5"/>
  <c r="E4" i="5"/>
  <c r="E3" i="5"/>
  <c r="P21" i="5" l="1"/>
  <c r="P23" i="5" s="1"/>
  <c r="P24" i="5" s="1"/>
  <c r="P25" i="5" s="1"/>
  <c r="F8" i="5"/>
  <c r="G8" i="5" s="1"/>
  <c r="F4" i="5"/>
  <c r="G4" i="5" s="1"/>
  <c r="F5" i="5"/>
  <c r="G5" i="5" s="1"/>
  <c r="F6" i="5"/>
  <c r="G6" i="5" s="1"/>
  <c r="F7" i="5"/>
  <c r="G7" i="5" s="1"/>
  <c r="F3" i="5"/>
  <c r="D15" i="5" l="1"/>
  <c r="G15" i="5" s="1"/>
  <c r="D13" i="5"/>
  <c r="G13" i="5" s="1"/>
  <c r="D16" i="5"/>
  <c r="G16" i="5" s="1"/>
  <c r="D14" i="5"/>
  <c r="G14" i="5" s="1"/>
  <c r="D12" i="5"/>
  <c r="G12" i="5" s="1"/>
  <c r="D17" i="5"/>
  <c r="G17" i="5" s="1"/>
  <c r="G9" i="5"/>
  <c r="G18" i="5" l="1"/>
  <c r="G23" i="5" s="1"/>
  <c r="E23" i="3" l="1"/>
  <c r="E25" i="3" s="1"/>
  <c r="E18" i="3"/>
  <c r="E27" i="3" l="1"/>
</calcChain>
</file>

<file path=xl/sharedStrings.xml><?xml version="1.0" encoding="utf-8"?>
<sst xmlns="http://schemas.openxmlformats.org/spreadsheetml/2006/main" count="89" uniqueCount="78">
  <si>
    <t>Planning/Environmental</t>
  </si>
  <si>
    <t>Design</t>
  </si>
  <si>
    <t>Property/ROW Acquisition</t>
  </si>
  <si>
    <t>Utility Relocation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</si>
  <si>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</si>
  <si>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</si>
  <si>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</si>
  <si>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</si>
  <si>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</si>
  <si>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</si>
  <si>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</si>
  <si>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</si>
  <si>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</si>
  <si>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</si>
  <si>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</si>
  <si>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</si>
  <si>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</si>
  <si>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</si>
  <si>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</si>
  <si>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</si>
  <si>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</si>
  <si>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</si>
  <si>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</si>
  <si>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</si>
  <si>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</si>
  <si>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</si>
  <si>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</si>
  <si>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</si>
  <si>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</si>
  <si>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</si>
  <si>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</si>
  <si>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</si>
  <si>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</si>
  <si>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Downtown-Midtown Bus Operation Improvements - Houston METRO</t>
  </si>
  <si>
    <t>Transit Street Bus Stops</t>
  </si>
  <si>
    <t>Downtown</t>
  </si>
  <si>
    <t>Midtown</t>
  </si>
  <si>
    <t>Cost per Stop</t>
  </si>
  <si>
    <t>Total</t>
  </si>
  <si>
    <t>Bus Stop</t>
  </si>
  <si>
    <t>Smith</t>
  </si>
  <si>
    <t>Shelter</t>
  </si>
  <si>
    <t>Louisiana</t>
  </si>
  <si>
    <t>Lighting</t>
  </si>
  <si>
    <t>Milam</t>
  </si>
  <si>
    <t>Bike Parking</t>
  </si>
  <si>
    <t>Travis </t>
  </si>
  <si>
    <t>Pad/curb</t>
  </si>
  <si>
    <t>Fannin</t>
  </si>
  <si>
    <t>Passenger Info/Wayfinding</t>
  </si>
  <si>
    <t>San Jacinto</t>
  </si>
  <si>
    <t>Contingency</t>
  </si>
  <si>
    <t>Transit Street Bus Lane Treatment</t>
  </si>
  <si>
    <t>Miles</t>
  </si>
  <si>
    <t>Cost per mile</t>
  </si>
  <si>
    <t>Estimate</t>
  </si>
  <si>
    <t>Bus lane cost per block</t>
  </si>
  <si>
    <t>"Bus Only"</t>
  </si>
  <si>
    <t>Red Bus Lane</t>
  </si>
  <si>
    <t>Prep</t>
  </si>
  <si>
    <t>Signs</t>
  </si>
  <si>
    <t>Signal Mods</t>
  </si>
  <si>
    <t>Layover Location</t>
  </si>
  <si>
    <t>Cost per block</t>
  </si>
  <si>
    <t>Blocks/mile</t>
  </si>
  <si>
    <t>Payment System</t>
  </si>
  <si>
    <t>Other (METRO)</t>
  </si>
  <si>
    <t>Downtown-Midtown Major Bus Corridors (Smith/Louisiana, Milam/Travis, Fannin/San Jacinto)</t>
  </si>
  <si>
    <t>Bus Stops Total</t>
  </si>
  <si>
    <t>Total with 20% Reduction</t>
  </si>
  <si>
    <t>Bus Lane Total</t>
  </si>
  <si>
    <t>Project Total</t>
  </si>
  <si>
    <t>Cost/Mile</t>
  </si>
  <si>
    <t>Cost/Stop</t>
  </si>
  <si>
    <t>EA</t>
  </si>
  <si>
    <t>Total Bus Lane per Mile</t>
  </si>
  <si>
    <t>Planning/Environmental
(Assumed at 10% of Project Cost)</t>
  </si>
  <si>
    <t>Design 
(Assumed at 20% of Project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</si>
</sst>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524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3" fillId="7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9" fontId="3" fillId="7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165" fontId="0" fillId="0" borderId="0" xfId="1" applyNumberFormat="1" applyFont="1" applyFill="1" applyBorder="1"/>
    <xf numFmtId="165" fontId="1" fillId="0" borderId="0" xfId="0" applyNumberFormat="1" applyFont="1" applyFill="1" applyBorder="1"/>
    <xf numFmtId="165" fontId="0" fillId="0" borderId="1" xfId="1" applyNumberFormat="1" applyFont="1" applyFill="1" applyBorder="1"/>
    <xf numFmtId="165" fontId="0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/>
    <xf numFmtId="165" fontId="0" fillId="0" borderId="0" xfId="0" applyNumberFormat="1" applyFont="1" applyFill="1" applyBorder="1"/>
    <xf numFmtId="165" fontId="5" fillId="7" borderId="1" xfId="0" applyNumberFormat="1" applyFont="1" applyFill="1" applyBorder="1"/>
    <xf numFmtId="165" fontId="0" fillId="0" borderId="1" xfId="0" applyNumberFormat="1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/>
    <xf numFmtId="0" fontId="0" fillId="0" borderId="1" xfId="0" applyFont="1" applyFill="1" applyBorder="1" applyAlignment="1"/>
    <xf numFmtId="9" fontId="0" fillId="0" borderId="11" xfId="0" applyNumberFormat="1" applyFont="1" applyFill="1" applyBorder="1"/>
    <xf numFmtId="0" fontId="0" fillId="0" borderId="11" xfId="0" applyFont="1" applyFill="1" applyBorder="1" applyAlignment="1">
      <alignment horizontal="right"/>
    </xf>
    <xf numFmtId="165" fontId="0" fillId="0" borderId="11" xfId="1" applyNumberFormat="1" applyFont="1" applyFill="1" applyBorder="1"/>
    <xf numFmtId="0" fontId="0" fillId="0" borderId="11" xfId="0" applyFont="1" applyFill="1" applyBorder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E27" sqref="E27:E28"/>
    </sheetView>
  </sheetViews>
  <sheetFormatPr defaultRowHeight="15" x14ac:dyDescent="0.25"/>
  <cols>
    <col min="2" max="2" width="31.5703125" customWidth="1"/>
    <col min="3" max="3" width="22" customWidth="1"/>
    <col min="4" max="4" width="28.425781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44" t="s">
        <v>21</v>
      </c>
      <c r="C2" s="44"/>
      <c r="D2" s="44"/>
      <c r="E2" s="44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13</v>
      </c>
    </row>
    <row r="5" spans="2:16" x14ac:dyDescent="0.25">
      <c r="B5" s="4" t="s">
        <v>22</v>
      </c>
      <c r="G5" s="12"/>
      <c r="H5" t="s">
        <v>23</v>
      </c>
      <c r="O5" t="s">
        <v>25</v>
      </c>
      <c r="P5" t="s">
        <v>15</v>
      </c>
    </row>
    <row r="6" spans="2:16" ht="28.7" customHeight="1" x14ac:dyDescent="0.25">
      <c r="B6" s="5" t="s">
        <v>12</v>
      </c>
      <c r="C6" s="47" t="s">
        <v>33</v>
      </c>
      <c r="D6" s="48"/>
      <c r="G6" s="13"/>
      <c r="H6" s="14" t="s">
        <v>24</v>
      </c>
      <c r="O6" t="s">
        <v>26</v>
      </c>
      <c r="P6" t="s">
        <v>16</v>
      </c>
    </row>
    <row r="7" spans="2:16" x14ac:dyDescent="0.25">
      <c r="B7" s="5" t="s">
        <v>13</v>
      </c>
      <c r="C7" s="45" t="s">
        <v>28</v>
      </c>
      <c r="D7" s="46"/>
      <c r="O7" t="s">
        <v>29</v>
      </c>
    </row>
    <row r="8" spans="2:16" ht="29.45" customHeight="1" x14ac:dyDescent="0.25">
      <c r="B8" s="5" t="s">
        <v>14</v>
      </c>
      <c r="C8" s="47" t="s">
        <v>67</v>
      </c>
      <c r="D8" s="48"/>
      <c r="O8" t="s">
        <v>27</v>
      </c>
    </row>
    <row r="9" spans="2:16" x14ac:dyDescent="0.25">
      <c r="B9" s="5" t="s">
        <v>18</v>
      </c>
      <c r="C9" s="45" t="s">
        <v>16</v>
      </c>
      <c r="D9" s="46"/>
      <c r="O9" t="s">
        <v>28</v>
      </c>
    </row>
    <row r="10" spans="2:16" x14ac:dyDescent="0.25">
      <c r="O10" t="s">
        <v>30</v>
      </c>
    </row>
    <row r="11" spans="2:16" ht="15" customHeight="1" x14ac:dyDescent="0.25">
      <c r="B11" s="65" t="s">
        <v>19</v>
      </c>
      <c r="C11" s="65" t="s">
        <v>6</v>
      </c>
      <c r="D11" s="65" t="s">
        <v>7</v>
      </c>
      <c r="E11" s="65" t="s">
        <v>17</v>
      </c>
      <c r="O11" t="s">
        <v>31</v>
      </c>
    </row>
    <row r="12" spans="2:16" x14ac:dyDescent="0.25">
      <c r="B12" s="66"/>
      <c r="C12" s="66"/>
      <c r="D12" s="66"/>
      <c r="E12" s="66"/>
      <c r="O12" t="s">
        <v>32</v>
      </c>
    </row>
    <row r="13" spans="2:16" x14ac:dyDescent="0.25">
      <c r="B13" s="6" t="s">
        <v>0</v>
      </c>
      <c r="C13" s="7">
        <v>2020</v>
      </c>
      <c r="D13" s="7">
        <v>2021</v>
      </c>
      <c r="E13" s="8">
        <f>Backup!G27/1000</f>
        <v>2052.2076799999995</v>
      </c>
    </row>
    <row r="14" spans="2:16" x14ac:dyDescent="0.25">
      <c r="B14" s="6" t="s">
        <v>1</v>
      </c>
      <c r="C14" s="7">
        <v>2021</v>
      </c>
      <c r="D14" s="7">
        <v>2022</v>
      </c>
      <c r="E14" s="8">
        <f>Backup!G29/1000</f>
        <v>4104.4153599999991</v>
      </c>
    </row>
    <row r="15" spans="2:16" x14ac:dyDescent="0.25">
      <c r="B15" s="6" t="s">
        <v>2</v>
      </c>
      <c r="C15" s="7"/>
      <c r="D15" s="7"/>
      <c r="E15" s="8">
        <v>0</v>
      </c>
    </row>
    <row r="16" spans="2:16" x14ac:dyDescent="0.25">
      <c r="B16" s="6" t="s">
        <v>3</v>
      </c>
      <c r="C16" s="7"/>
      <c r="D16" s="7"/>
      <c r="E16" s="8">
        <v>0</v>
      </c>
    </row>
    <row r="17" spans="2:13" x14ac:dyDescent="0.25">
      <c r="B17" s="6" t="s">
        <v>5</v>
      </c>
      <c r="C17" s="7">
        <v>2025</v>
      </c>
      <c r="D17" s="7">
        <v>2027</v>
      </c>
      <c r="E17" s="8">
        <f>Backup!G23/1000</f>
        <v>20522.076799999995</v>
      </c>
    </row>
    <row r="18" spans="2:13" x14ac:dyDescent="0.25">
      <c r="B18" s="56" t="s">
        <v>9</v>
      </c>
      <c r="C18" s="58"/>
      <c r="D18" s="59"/>
      <c r="E18" s="54">
        <f>SUM(E13:E17)*0.8</f>
        <v>21342.959871999996</v>
      </c>
    </row>
    <row r="19" spans="2:13" x14ac:dyDescent="0.25">
      <c r="B19" s="57"/>
      <c r="C19" s="60"/>
      <c r="D19" s="61"/>
      <c r="E19" s="55"/>
    </row>
    <row r="20" spans="2:13" ht="15" customHeight="1" x14ac:dyDescent="0.25">
      <c r="B20" s="9" t="s">
        <v>10</v>
      </c>
      <c r="C20" s="62"/>
      <c r="D20" s="63"/>
      <c r="E20" s="64"/>
    </row>
    <row r="21" spans="2:13" x14ac:dyDescent="0.25">
      <c r="B21" s="6" t="s">
        <v>8</v>
      </c>
      <c r="C21" s="7"/>
      <c r="D21" s="7"/>
      <c r="E21" s="8">
        <v>0</v>
      </c>
    </row>
    <row r="22" spans="2:13" x14ac:dyDescent="0.25">
      <c r="B22" s="6" t="s">
        <v>4</v>
      </c>
      <c r="C22" s="7"/>
      <c r="D22" s="7"/>
      <c r="E22" s="8"/>
    </row>
    <row r="23" spans="2:13" x14ac:dyDescent="0.25">
      <c r="B23" s="6" t="s">
        <v>66</v>
      </c>
      <c r="C23" s="7"/>
      <c r="D23" s="7"/>
      <c r="E23" s="8">
        <f>SUM(E13:E17)*0.2</f>
        <v>5335.739967999999</v>
      </c>
    </row>
    <row r="24" spans="2:13" x14ac:dyDescent="0.25">
      <c r="B24" s="51"/>
      <c r="C24" s="52"/>
      <c r="D24" s="52"/>
      <c r="E24" s="53"/>
    </row>
    <row r="25" spans="2:13" x14ac:dyDescent="0.25">
      <c r="B25" s="10" t="s">
        <v>11</v>
      </c>
      <c r="C25" s="49"/>
      <c r="D25" s="50"/>
      <c r="E25" s="11">
        <f>SUM(E21:E23)</f>
        <v>5335.739967999999</v>
      </c>
    </row>
    <row r="26" spans="2:13" x14ac:dyDescent="0.25">
      <c r="B26" s="51"/>
      <c r="C26" s="52"/>
      <c r="D26" s="52"/>
      <c r="E26" s="53"/>
    </row>
    <row r="27" spans="2:13" x14ac:dyDescent="0.25">
      <c r="B27" s="56" t="s">
        <v>20</v>
      </c>
      <c r="C27" s="58"/>
      <c r="D27" s="59"/>
      <c r="E27" s="54">
        <f>E18+E25</f>
        <v>26678.699839999994</v>
      </c>
    </row>
    <row r="28" spans="2:13" x14ac:dyDescent="0.25">
      <c r="B28" s="57"/>
      <c r="C28" s="60"/>
      <c r="D28" s="61"/>
      <c r="E28" s="55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8A01-3156-4984-A824-6DA19AF2E01E}">
  <dimension ref="B2:P32"/>
  <sheetViews>
    <sheetView topLeftCell="A10" workbookViewId="0">
      <selection activeCell="H23" sqref="H23"/>
    </sheetView>
  </sheetViews>
  <sheetFormatPr defaultColWidth="8.7109375" defaultRowHeight="15" x14ac:dyDescent="0.25"/>
  <cols>
    <col min="1" max="1" width="8.7109375" style="15"/>
    <col min="2" max="2" width="22" style="15" customWidth="1"/>
    <col min="3" max="3" width="12.140625" style="15" customWidth="1"/>
    <col min="4" max="4" width="12.140625" style="15" bestFit="1" customWidth="1"/>
    <col min="5" max="5" width="12.140625" style="15" customWidth="1"/>
    <col min="6" max="6" width="12.140625" style="15" bestFit="1" customWidth="1"/>
    <col min="7" max="7" width="14.5703125" style="15" bestFit="1" customWidth="1"/>
    <col min="8" max="12" width="8.7109375" style="15"/>
    <col min="13" max="13" width="23.140625" style="15" bestFit="1" customWidth="1"/>
    <col min="14" max="14" width="5" style="15" bestFit="1" customWidth="1"/>
    <col min="15" max="15" width="12.5703125" style="15" bestFit="1" customWidth="1"/>
    <col min="16" max="16" width="12.140625" style="15" bestFit="1" customWidth="1"/>
    <col min="17" max="16384" width="8.7109375" style="15"/>
  </cols>
  <sheetData>
    <row r="2" spans="2:16" ht="45" x14ac:dyDescent="0.25">
      <c r="B2" s="17" t="s">
        <v>34</v>
      </c>
      <c r="C2" s="34" t="s">
        <v>35</v>
      </c>
      <c r="D2" s="34" t="s">
        <v>36</v>
      </c>
      <c r="E2" s="20" t="s">
        <v>69</v>
      </c>
      <c r="F2" s="17" t="s">
        <v>37</v>
      </c>
      <c r="G2" s="17" t="s">
        <v>38</v>
      </c>
      <c r="M2" s="25" t="s">
        <v>39</v>
      </c>
    </row>
    <row r="3" spans="2:16" x14ac:dyDescent="0.25">
      <c r="B3" s="18" t="s">
        <v>40</v>
      </c>
      <c r="C3" s="35">
        <v>17</v>
      </c>
      <c r="D3" s="35">
        <v>2</v>
      </c>
      <c r="E3" s="21">
        <f>D3+C3*0.8</f>
        <v>15.600000000000001</v>
      </c>
      <c r="F3" s="28">
        <f>+$P$11</f>
        <v>90000</v>
      </c>
      <c r="G3" s="28">
        <f>F3*E3</f>
        <v>1404000.0000000002</v>
      </c>
      <c r="M3" s="15" t="s">
        <v>41</v>
      </c>
      <c r="P3" s="26">
        <v>40000</v>
      </c>
    </row>
    <row r="4" spans="2:16" x14ac:dyDescent="0.25">
      <c r="B4" s="18" t="s">
        <v>42</v>
      </c>
      <c r="C4" s="35">
        <v>18</v>
      </c>
      <c r="D4" s="35">
        <v>2</v>
      </c>
      <c r="E4" s="21">
        <f t="shared" ref="E4:E8" si="0">D4+C4*0.8</f>
        <v>16.399999999999999</v>
      </c>
      <c r="F4" s="28">
        <f t="shared" ref="F4:F8" si="1">+$P$11</f>
        <v>90000</v>
      </c>
      <c r="G4" s="28">
        <f t="shared" ref="G4:G8" si="2">F4*E4</f>
        <v>1475999.9999999998</v>
      </c>
      <c r="M4" s="15" t="s">
        <v>43</v>
      </c>
      <c r="P4" s="26">
        <v>7500</v>
      </c>
    </row>
    <row r="5" spans="2:16" x14ac:dyDescent="0.25">
      <c r="B5" s="18" t="s">
        <v>44</v>
      </c>
      <c r="C5" s="35">
        <v>19</v>
      </c>
      <c r="D5" s="35">
        <v>6</v>
      </c>
      <c r="E5" s="21">
        <f t="shared" si="0"/>
        <v>21.200000000000003</v>
      </c>
      <c r="F5" s="28">
        <f t="shared" si="1"/>
        <v>90000</v>
      </c>
      <c r="G5" s="28">
        <f t="shared" si="2"/>
        <v>1908000.0000000002</v>
      </c>
      <c r="M5" s="15" t="s">
        <v>45</v>
      </c>
      <c r="P5" s="26">
        <v>500</v>
      </c>
    </row>
    <row r="6" spans="2:16" x14ac:dyDescent="0.25">
      <c r="B6" s="18" t="s">
        <v>46</v>
      </c>
      <c r="C6" s="35">
        <v>17</v>
      </c>
      <c r="D6" s="35">
        <v>6</v>
      </c>
      <c r="E6" s="21">
        <f t="shared" si="0"/>
        <v>19.600000000000001</v>
      </c>
      <c r="F6" s="28">
        <f t="shared" si="1"/>
        <v>90000</v>
      </c>
      <c r="G6" s="28">
        <f t="shared" si="2"/>
        <v>1764000.0000000002</v>
      </c>
      <c r="M6" s="15" t="s">
        <v>47</v>
      </c>
      <c r="P6" s="26">
        <v>9000</v>
      </c>
    </row>
    <row r="7" spans="2:16" x14ac:dyDescent="0.25">
      <c r="B7" s="18" t="s">
        <v>48</v>
      </c>
      <c r="C7" s="35">
        <v>19</v>
      </c>
      <c r="D7" s="35">
        <v>2</v>
      </c>
      <c r="E7" s="21">
        <f t="shared" si="0"/>
        <v>17.200000000000003</v>
      </c>
      <c r="F7" s="28">
        <f t="shared" si="1"/>
        <v>90000</v>
      </c>
      <c r="G7" s="28">
        <f t="shared" si="2"/>
        <v>1548000.0000000002</v>
      </c>
      <c r="M7" s="15" t="s">
        <v>49</v>
      </c>
      <c r="P7" s="26">
        <v>10000</v>
      </c>
    </row>
    <row r="8" spans="2:16" x14ac:dyDescent="0.25">
      <c r="B8" s="18" t="s">
        <v>50</v>
      </c>
      <c r="C8" s="35">
        <v>19</v>
      </c>
      <c r="D8" s="35">
        <v>3</v>
      </c>
      <c r="E8" s="21">
        <f t="shared" si="0"/>
        <v>18.200000000000003</v>
      </c>
      <c r="F8" s="28">
        <f t="shared" si="1"/>
        <v>90000</v>
      </c>
      <c r="G8" s="28">
        <f t="shared" si="2"/>
        <v>1638000.0000000002</v>
      </c>
      <c r="M8" s="15" t="s">
        <v>65</v>
      </c>
      <c r="P8" s="26">
        <v>8000</v>
      </c>
    </row>
    <row r="9" spans="2:16" x14ac:dyDescent="0.25">
      <c r="C9" s="36"/>
      <c r="D9" s="36"/>
      <c r="F9" s="29" t="s">
        <v>68</v>
      </c>
      <c r="G9" s="30">
        <f>SUM(G3:G8)</f>
        <v>9738000</v>
      </c>
      <c r="O9" s="15" t="s">
        <v>73</v>
      </c>
      <c r="P9" s="26">
        <f>+SUM(P3:P8)</f>
        <v>75000</v>
      </c>
    </row>
    <row r="10" spans="2:16" x14ac:dyDescent="0.25">
      <c r="C10" s="36"/>
      <c r="D10" s="36"/>
      <c r="F10" s="31"/>
      <c r="G10" s="31"/>
      <c r="N10" s="40">
        <v>0.2</v>
      </c>
      <c r="O10" s="43" t="s">
        <v>51</v>
      </c>
      <c r="P10" s="42">
        <f>+P9*N10</f>
        <v>15000</v>
      </c>
    </row>
    <row r="11" spans="2:16" ht="30" x14ac:dyDescent="0.25">
      <c r="B11" s="22" t="s">
        <v>52</v>
      </c>
      <c r="C11" s="38" t="s">
        <v>53</v>
      </c>
      <c r="D11" s="37" t="s">
        <v>54</v>
      </c>
      <c r="E11" s="23"/>
      <c r="F11" s="32"/>
      <c r="G11" s="32" t="s">
        <v>55</v>
      </c>
      <c r="P11" s="24">
        <f>+P9+P10</f>
        <v>90000</v>
      </c>
    </row>
    <row r="12" spans="2:16" x14ac:dyDescent="0.25">
      <c r="B12" s="18" t="s">
        <v>40</v>
      </c>
      <c r="C12" s="39">
        <v>1.95</v>
      </c>
      <c r="D12" s="33">
        <f t="shared" ref="D12:D17" si="3">+$P$25</f>
        <v>757248</v>
      </c>
      <c r="E12" s="19"/>
      <c r="F12" s="33"/>
      <c r="G12" s="33">
        <f t="shared" ref="G12:G17" si="4">+C12*D12</f>
        <v>1476633.5999999999</v>
      </c>
    </row>
    <row r="13" spans="2:16" x14ac:dyDescent="0.25">
      <c r="B13" s="18" t="s">
        <v>42</v>
      </c>
      <c r="C13" s="39">
        <v>2</v>
      </c>
      <c r="D13" s="33">
        <f t="shared" si="3"/>
        <v>757248</v>
      </c>
      <c r="E13" s="19"/>
      <c r="F13" s="33"/>
      <c r="G13" s="33">
        <f t="shared" si="4"/>
        <v>1514496</v>
      </c>
      <c r="M13" s="25" t="s">
        <v>56</v>
      </c>
      <c r="N13" s="15" t="s">
        <v>74</v>
      </c>
    </row>
    <row r="14" spans="2:16" x14ac:dyDescent="0.25">
      <c r="B14" s="18" t="s">
        <v>44</v>
      </c>
      <c r="C14" s="39">
        <v>2.2000000000000002</v>
      </c>
      <c r="D14" s="33">
        <f t="shared" si="3"/>
        <v>757248</v>
      </c>
      <c r="E14" s="19"/>
      <c r="F14" s="33"/>
      <c r="G14" s="33">
        <f t="shared" si="4"/>
        <v>1665945.6000000001</v>
      </c>
      <c r="M14" s="15" t="s">
        <v>57</v>
      </c>
      <c r="N14" s="15">
        <v>4</v>
      </c>
      <c r="O14" s="26">
        <v>90</v>
      </c>
      <c r="P14" s="26">
        <f>+O14*N14</f>
        <v>360</v>
      </c>
    </row>
    <row r="15" spans="2:16" x14ac:dyDescent="0.25">
      <c r="B15" s="18" t="s">
        <v>46</v>
      </c>
      <c r="C15" s="39">
        <v>2.25</v>
      </c>
      <c r="D15" s="33">
        <f t="shared" si="3"/>
        <v>757248</v>
      </c>
      <c r="E15" s="19"/>
      <c r="F15" s="33"/>
      <c r="G15" s="33">
        <f t="shared" si="4"/>
        <v>1703808</v>
      </c>
      <c r="M15" s="15" t="s">
        <v>58</v>
      </c>
      <c r="N15" s="15">
        <f>280*6</f>
        <v>1680</v>
      </c>
      <c r="O15" s="26">
        <v>6</v>
      </c>
      <c r="P15" s="26">
        <f>+O15*N15</f>
        <v>10080</v>
      </c>
    </row>
    <row r="16" spans="2:16" x14ac:dyDescent="0.25">
      <c r="B16" s="18" t="s">
        <v>48</v>
      </c>
      <c r="C16" s="39">
        <v>1.6</v>
      </c>
      <c r="D16" s="33">
        <f t="shared" si="3"/>
        <v>757248</v>
      </c>
      <c r="E16" s="19"/>
      <c r="F16" s="33"/>
      <c r="G16" s="33">
        <f t="shared" si="4"/>
        <v>1211596.8</v>
      </c>
      <c r="M16" s="15" t="s">
        <v>59</v>
      </c>
      <c r="O16" s="26"/>
      <c r="P16" s="26">
        <v>2000</v>
      </c>
    </row>
    <row r="17" spans="2:16" x14ac:dyDescent="0.25">
      <c r="B17" s="18" t="s">
        <v>50</v>
      </c>
      <c r="C17" s="39">
        <v>1.6</v>
      </c>
      <c r="D17" s="33">
        <f t="shared" si="3"/>
        <v>757248</v>
      </c>
      <c r="E17" s="19"/>
      <c r="F17" s="33"/>
      <c r="G17" s="33">
        <f t="shared" si="4"/>
        <v>1211596.8</v>
      </c>
      <c r="M17" s="15" t="s">
        <v>60</v>
      </c>
      <c r="N17" s="15">
        <v>8</v>
      </c>
      <c r="O17" s="26">
        <v>250</v>
      </c>
      <c r="P17" s="26">
        <f>+O17*N17</f>
        <v>2000</v>
      </c>
    </row>
    <row r="18" spans="2:16" x14ac:dyDescent="0.25">
      <c r="F18" s="29" t="s">
        <v>70</v>
      </c>
      <c r="G18" s="27">
        <f>+SUM(G12:G17)</f>
        <v>8784076.7999999989</v>
      </c>
      <c r="M18" s="15" t="s">
        <v>61</v>
      </c>
      <c r="N18" s="15">
        <v>1</v>
      </c>
      <c r="O18" s="26">
        <v>25000</v>
      </c>
      <c r="P18" s="26">
        <f>+O18*N18</f>
        <v>25000</v>
      </c>
    </row>
    <row r="19" spans="2:16" x14ac:dyDescent="0.25">
      <c r="F19" s="31"/>
      <c r="G19" s="31"/>
    </row>
    <row r="20" spans="2:16" x14ac:dyDescent="0.25">
      <c r="F20" s="31"/>
      <c r="G20" s="31"/>
    </row>
    <row r="21" spans="2:16" x14ac:dyDescent="0.25">
      <c r="B21" s="15" t="s">
        <v>62</v>
      </c>
      <c r="F21" s="31"/>
      <c r="G21" s="27">
        <v>2000000</v>
      </c>
      <c r="O21" s="16" t="s">
        <v>63</v>
      </c>
      <c r="P21" s="26">
        <f>SUM(P14:P18)</f>
        <v>39440</v>
      </c>
    </row>
    <row r="22" spans="2:16" x14ac:dyDescent="0.25">
      <c r="F22" s="31"/>
      <c r="G22" s="31"/>
      <c r="O22" s="16" t="s">
        <v>64</v>
      </c>
      <c r="P22" s="15">
        <v>16</v>
      </c>
    </row>
    <row r="23" spans="2:16" x14ac:dyDescent="0.25">
      <c r="F23" s="31" t="s">
        <v>71</v>
      </c>
      <c r="G23" s="27">
        <f>+G9+G18+G21</f>
        <v>20522076.799999997</v>
      </c>
      <c r="O23" s="16" t="s">
        <v>72</v>
      </c>
      <c r="P23" s="26">
        <f>+P22*P21</f>
        <v>631040</v>
      </c>
    </row>
    <row r="24" spans="2:16" x14ac:dyDescent="0.25">
      <c r="N24" s="40">
        <v>0.2</v>
      </c>
      <c r="O24" s="41" t="s">
        <v>51</v>
      </c>
      <c r="P24" s="42">
        <f>+P23*N24</f>
        <v>126208</v>
      </c>
    </row>
    <row r="25" spans="2:16" x14ac:dyDescent="0.25">
      <c r="O25" s="16" t="s">
        <v>75</v>
      </c>
      <c r="P25" s="27">
        <f>+P23+P24</f>
        <v>757248</v>
      </c>
    </row>
    <row r="26" spans="2:16" ht="14.45" customHeight="1" x14ac:dyDescent="0.25">
      <c r="D26" s="67" t="s">
        <v>76</v>
      </c>
      <c r="E26" s="67"/>
      <c r="F26" s="67"/>
    </row>
    <row r="27" spans="2:16" x14ac:dyDescent="0.25">
      <c r="D27" s="67"/>
      <c r="E27" s="67"/>
      <c r="F27" s="67"/>
      <c r="G27" s="27">
        <f>G23*0.1</f>
        <v>2052207.6799999997</v>
      </c>
    </row>
    <row r="28" spans="2:16" ht="14.45" customHeight="1" x14ac:dyDescent="0.25">
      <c r="D28" s="67" t="s">
        <v>77</v>
      </c>
      <c r="E28" s="67"/>
      <c r="F28" s="67"/>
      <c r="G28" s="31"/>
    </row>
    <row r="29" spans="2:16" x14ac:dyDescent="0.25">
      <c r="D29" s="67"/>
      <c r="E29" s="67"/>
      <c r="F29" s="67"/>
      <c r="G29" s="27">
        <f>0.2*G23</f>
        <v>4104415.3599999994</v>
      </c>
    </row>
    <row r="30" spans="2:16" x14ac:dyDescent="0.25">
      <c r="G30" s="31"/>
    </row>
    <row r="31" spans="2:16" x14ac:dyDescent="0.25">
      <c r="G31" s="31"/>
    </row>
    <row r="32" spans="2:16" x14ac:dyDescent="0.25">
      <c r="F32" s="15" t="s">
        <v>71</v>
      </c>
      <c r="G32" s="27">
        <f>G23+G27+G29</f>
        <v>26678699.839999996</v>
      </c>
    </row>
  </sheetData>
  <mergeCells count="2">
    <mergeCell ref="D26:F27"/>
    <mergeCell ref="D28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Project Budget</vt:lpstr>
      <vt:lpstr>Backup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Albert Lyne</cp:lastModifiedBy>
  <cp:lastPrinted>2018-08-13T14:17:16Z</cp:lastPrinted>
  <dcterms:created xsi:type="dcterms:W3CDTF">2014-09-17T12:05:47Z</dcterms:created>
  <dcterms:modified xsi:type="dcterms:W3CDTF">2018-10-30T19:00:30Z</dcterms:modified>
</cp:coreProperties>
</file>