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LEACITY - Palomino\"/>
    </mc:Choice>
  </mc:AlternateContent>
  <xr:revisionPtr revIDLastSave="0" documentId="13_ncr:1_{83EF0B73-55CD-44D9-8CC5-E4A536441DB9}" xr6:coauthVersionLast="37" xr6:coauthVersionMax="37" xr10:uidLastSave="{00000000-0000-0000-0000-000000000000}"/>
  <bookViews>
    <workbookView xWindow="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15" i="15"/>
  <c r="O16" i="15"/>
  <c r="O17" i="15"/>
  <c r="O18" i="15"/>
  <c r="O19" i="15"/>
  <c r="O20" i="15"/>
  <c r="O21" i="15"/>
  <c r="O36" i="15" l="1"/>
  <c r="O22" i="15"/>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s="1"/>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s="1"/>
  <c r="J24" i="7" s="1"/>
  <c r="G25" i="7"/>
  <c r="S26" i="12"/>
  <c r="P27" i="12"/>
  <c r="Q26" i="12"/>
  <c r="M27" i="12"/>
  <c r="T7" i="12" l="1"/>
  <c r="U7" i="12" s="1"/>
  <c r="H25" i="7"/>
  <c r="I25" i="7" s="1"/>
  <c r="J25" i="7" s="1"/>
  <c r="G26" i="7"/>
  <c r="S27" i="12"/>
  <c r="P28" i="12"/>
  <c r="Q27" i="12"/>
  <c r="M28" i="12"/>
  <c r="T8" i="12" l="1"/>
  <c r="U8" i="12" s="1"/>
  <c r="G27" i="7"/>
  <c r="H26" i="7"/>
  <c r="I26" i="7" s="1"/>
  <c r="J26" i="7" s="1"/>
  <c r="S28" i="12"/>
  <c r="P29" i="12"/>
  <c r="Q28" i="12"/>
  <c r="M29" i="12"/>
  <c r="G28" i="7" l="1"/>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21" i="12" l="1"/>
  <c r="H26" i="12" s="1"/>
  <c r="E17" i="12"/>
  <c r="D26" i="12" s="1"/>
  <c r="E19" i="12"/>
  <c r="F26" i="12" s="1"/>
  <c r="E22" i="12"/>
  <c r="I26" i="12" s="1"/>
  <c r="E18" i="12"/>
  <c r="E26" i="12" s="1"/>
  <c r="E20" i="12"/>
  <c r="G26" i="12" s="1"/>
  <c r="S36" i="12"/>
  <c r="P36" i="12"/>
  <c r="Q36" i="12" s="1"/>
  <c r="F32" i="12" l="1"/>
  <c r="F29" i="12"/>
  <c r="F28" i="12"/>
  <c r="F33" i="12"/>
  <c r="F31" i="12"/>
  <c r="F27" i="12"/>
  <c r="F30" i="12"/>
  <c r="D29" i="12"/>
  <c r="D28" i="12"/>
  <c r="D30" i="12"/>
  <c r="D27" i="12"/>
  <c r="D31" i="12"/>
  <c r="D32" i="12"/>
  <c r="D33" i="12"/>
  <c r="I27" i="12"/>
  <c r="I29" i="12"/>
  <c r="I31" i="12"/>
  <c r="I30" i="12"/>
  <c r="I28" i="12"/>
  <c r="I33" i="12"/>
  <c r="I32" i="12"/>
  <c r="G27" i="12"/>
  <c r="G29" i="12"/>
  <c r="G32" i="12"/>
  <c r="G30" i="12"/>
  <c r="G28" i="12"/>
  <c r="G31" i="12"/>
  <c r="G33" i="12"/>
  <c r="E29" i="12"/>
  <c r="E33" i="12"/>
  <c r="E31" i="12"/>
  <c r="E27" i="12"/>
  <c r="E32" i="12"/>
  <c r="E28" i="12"/>
  <c r="E30" i="12"/>
  <c r="H32" i="12"/>
  <c r="H30" i="12"/>
  <c r="H31" i="12"/>
  <c r="H29" i="12"/>
  <c r="H27" i="12"/>
  <c r="H33" i="12"/>
  <c r="H28" i="12"/>
  <c r="J31" i="12" l="1"/>
  <c r="J33" i="12"/>
  <c r="J30" i="12"/>
  <c r="J29" i="12"/>
  <c r="J27" i="12"/>
  <c r="J32" i="12"/>
  <c r="J28" i="12"/>
  <c r="J5" i="12" l="1"/>
  <c r="R9" i="12" s="1"/>
  <c r="T9" i="12" s="1"/>
  <c r="U9" i="12" s="1"/>
  <c r="R10" i="12" l="1"/>
  <c r="T10" i="12" s="1"/>
  <c r="U10" i="12" s="1"/>
  <c r="R11" i="12" l="1"/>
  <c r="R12" i="12" s="1"/>
  <c r="T11" i="12" l="1"/>
  <c r="U11" i="12" s="1"/>
  <c r="R13" i="12"/>
  <c r="T12" i="12"/>
  <c r="U12" i="12" s="1"/>
  <c r="R14" i="12" l="1"/>
  <c r="T13" i="12"/>
  <c r="U13" i="12" s="1"/>
  <c r="R15" i="12" l="1"/>
  <c r="T14" i="12"/>
  <c r="U14" i="12" s="1"/>
  <c r="R16" i="12" l="1"/>
  <c r="T15" i="12"/>
  <c r="U15" i="12" s="1"/>
  <c r="R17" i="12" l="1"/>
  <c r="T16" i="12"/>
  <c r="U16" i="12" s="1"/>
  <c r="R18" i="12" l="1"/>
  <c r="T17" i="12"/>
  <c r="U17" i="12" s="1"/>
  <c r="R19" i="12" l="1"/>
  <c r="T18" i="12"/>
  <c r="U18" i="12" s="1"/>
  <c r="R20" i="12" l="1"/>
  <c r="T19" i="12"/>
  <c r="U19" i="12" s="1"/>
  <c r="R21" i="12" l="1"/>
  <c r="T20" i="12"/>
  <c r="U20" i="12" s="1"/>
  <c r="R22" i="12" l="1"/>
  <c r="T21" i="12"/>
  <c r="U21" i="12" s="1"/>
  <c r="R23" i="12" l="1"/>
  <c r="T22" i="12"/>
  <c r="U22" i="12" s="1"/>
  <c r="R24" i="12" l="1"/>
  <c r="T23" i="12"/>
  <c r="U23" i="12" s="1"/>
  <c r="R25" i="12" l="1"/>
  <c r="T24" i="12"/>
  <c r="U24" i="12" s="1"/>
  <c r="R26" i="12" l="1"/>
  <c r="T25" i="12"/>
  <c r="U25" i="12" s="1"/>
  <c r="R27" i="12" l="1"/>
  <c r="T26" i="12"/>
  <c r="U26" i="12" s="1"/>
  <c r="R28" i="12" l="1"/>
  <c r="T27" i="12"/>
  <c r="U27" i="12" s="1"/>
  <c r="R29" i="12" l="1"/>
  <c r="T28" i="12"/>
  <c r="U28" i="12" s="1"/>
  <c r="R30" i="12" l="1"/>
  <c r="T29" i="12"/>
  <c r="U29" i="12" s="1"/>
  <c r="R31" i="12" l="1"/>
  <c r="T30" i="12"/>
  <c r="U30" i="12" s="1"/>
  <c r="R32" i="12" l="1"/>
  <c r="T31" i="12"/>
  <c r="U31" i="12" s="1"/>
  <c r="R33" i="12" l="1"/>
  <c r="T32" i="12"/>
  <c r="U32" i="12" s="1"/>
  <c r="R34" i="12" l="1"/>
  <c r="T33" i="12"/>
  <c r="U33" i="12" s="1"/>
  <c r="R35" i="12" l="1"/>
  <c r="T34" i="12"/>
  <c r="U34" i="12" s="1"/>
  <c r="R36" i="12" l="1"/>
  <c r="T36" i="12" s="1"/>
  <c r="U36" i="12" s="1"/>
  <c r="T35" i="12"/>
  <c r="U35" i="12" s="1"/>
  <c r="U37" i="12" l="1"/>
  <c r="C37" i="11" s="1"/>
</calcChain>
</file>

<file path=xl/sharedStrings.xml><?xml version="1.0" encoding="utf-8"?>
<sst xmlns="http://schemas.openxmlformats.org/spreadsheetml/2006/main" count="440" uniqueCount="286">
  <si>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</si>
  <si>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</si>
  <si>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</si>
  <si>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</si>
  <si>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</si>
  <si>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</si>
  <si>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</si>
  <si>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</si>
  <si>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</si>
  <si>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</si>
  <si>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</si>
  <si>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</si>
  <si>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</si>
  <si>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</si>
  <si>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</si>
  <si>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</si>
  <si>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</si>
  <si>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</si>
  <si>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</si>
  <si>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</si>
  <si>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</si>
  <si>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</si>
  <si>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</si>
  <si>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</si>
  <si>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</si>
  <si>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</si>
  <si>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</si>
  <si>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</si>
  <si>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</si>
  <si>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</si>
  <si>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</si>
  <si>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</si>
  <si>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</si>
  <si>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</si>
  <si>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</si>
  <si>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</si>
  <si>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</si>
  <si>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</si>
  <si>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</si>
  <si>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</si>
  <si>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</si>
  <si>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</si>
  <si>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</si>
  <si>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</si>
  <si>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</si>
  <si>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</si>
  <si>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</si>
  <si>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</si>
  <si>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</si>
  <si>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</si>
  <si>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</si>
  <si>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</si>
  <si>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</si>
  <si>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</si>
  <si>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</si>
  <si>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</si>
  <si>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</si>
  <si>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</si>
  <si>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</si>
  <si>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</si>
  <si>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</si>
  <si>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</si>
  <si>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</si>
  <si>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</si>
  <si>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</si>
  <si>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</si>
  <si>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</si>
  <si>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</si>
  <si>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</si>
  <si>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</si>
  <si>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</si>
  <si>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</si>
  <si>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</si>
  <si>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</si>
  <si>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</si>
  <si>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</si>
  <si>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</si>
  <si>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</si>
  <si>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</si>
  <si>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</si>
  <si>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</si>
  <si>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</si>
  <si>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</si>
  <si>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</si>
  <si>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</si>
  <si>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</si>
  <si>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</si>
  <si>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</si>
  <si>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</si>
  <si>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</si>
  <si>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</si>
  <si>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</si>
  <si>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</si>
  <si>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</si>
  <si>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</si>
  <si>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</si>
  <si>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</si>
  <si>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</si>
  <si>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</si>
  <si>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</si>
  <si>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</si>
  <si>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</si>
  <si>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</si>
  <si>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</si>
  <si>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</si>
  <si>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</si>
  <si>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</si>
  <si>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</si>
  <si>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</si>
  <si>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</si>
  <si>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</si>
  <si>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</si>
  <si>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</si>
  <si>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</si>
  <si>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</si>
  <si>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</si>
  <si>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</si>
  <si>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</si>
  <si>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</si>
  <si>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</si>
  <si>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</si>
  <si>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</si>
  <si>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</si>
  <si>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</si>
  <si>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</si>
  <si>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</si>
  <si>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</si>
  <si>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</si>
  <si>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</si>
  <si>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</si>
  <si>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</si>
  <si>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</si>
  <si>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</si>
  <si>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</si>
  <si>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</si>
  <si>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</si>
  <si>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</si>
  <si>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</si>
  <si>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</si>
  <si>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</si>
  <si>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</si>
  <si>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</si>
  <si>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</si>
  <si>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</si>
  <si>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</si>
  <si>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</si>
  <si>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</si>
  <si>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</si>
  <si>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</si>
  <si>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</si>
  <si>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</si>
  <si>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</si>
  <si>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</si>
  <si>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</si>
  <si>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</si>
  <si>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</si>
  <si>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</si>
  <si>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</si>
  <si>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</si>
  <si>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</si>
  <si>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</si>
  <si>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</si>
  <si>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</si>
  <si>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</si>
  <si>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</si>
  <si>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</si>
  <si>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</si>
  <si>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</si>
  <si>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</si>
  <si>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</si>
  <si>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</si>
  <si>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</si>
  <si>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</si>
  <si>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</si>
  <si>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</si>
  <si>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</si>
  <si>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</si>
  <si>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</si>
  <si>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</si>
  <si>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</si>
  <si>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</si>
  <si>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</si>
  <si>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</si>
  <si>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</si>
  <si>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</si>
  <si>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</si>
  <si>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</si>
  <si>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</si>
  <si>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</si>
  <si>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</si>
  <si>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</si>
  <si>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</si>
  <si>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</si>
  <si>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</si>
  <si>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</si>
  <si>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</si>
  <si>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</si>
  <si>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</si>
  <si>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</si>
  <si>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</si>
  <si>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</si>
  <si>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</si>
  <si>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</si>
  <si>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</si>
  <si>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</si>
  <si>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</si>
  <si>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</si>
  <si>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</si>
  <si>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</si>
  <si>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</si>
  <si>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</si>
  <si>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</si>
  <si>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</si>
  <si>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</si>
  <si>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</si>
  <si>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</si>
  <si>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</si>
  <si>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</si>
  <si>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</si>
  <si>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</si>
  <si>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</si>
  <si>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</si>
  <si>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</si>
  <si>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</si>
  <si>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</si>
  <si>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</si>
  <si>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</si>
  <si>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</si>
  <si>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</si>
  <si>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</si>
  <si>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</si>
  <si>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</si>
  <si>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</si>
  <si>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</si>
  <si>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</si>
  <si>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</si>
  <si>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</si>
  <si>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</si>
  <si>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</si>
  <si>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</si>
  <si>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</si>
  <si>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</si>
  <si>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</si>
  <si>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</si>
  <si>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</si>
  <si>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</si>
  <si>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</si>
  <si>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</si>
  <si>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</si>
  <si>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</si>
  <si>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</si>
  <si>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</si>
  <si>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</si>
  <si>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</si>
  <si>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</si>
  <si>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</si>
  <si>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</si>
  <si>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</si>
  <si>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</si>
  <si>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</si>
  <si>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</si>
  <si>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</si>
  <si>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</si>
  <si>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</si>
  <si>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</si>
  <si>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</si>
  <si>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</si>
  <si>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</si>
  <si>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</si>
  <si>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</si>
  <si>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</si>
  <si>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</si>
  <si>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</si>
  <si>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</si>
  <si>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</si>
  <si>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</si>
  <si>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</si>
  <si>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</si>
  <si>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</si>
  <si>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</si>
  <si>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</si>
  <si>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Non Freeway</t>
  </si>
  <si>
    <t>Palomino Road Extension and Clear Creek Bridge</t>
  </si>
  <si>
    <t>Palomino Road</t>
  </si>
  <si>
    <t>Palomino Street</t>
  </si>
  <si>
    <t>Grissom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</si>
</sst>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
      <patternFill patternType="solid">
        <fgColor theme="6"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91">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0" fillId="2" borderId="1" xfId="0" applyFill="1" applyBorder="1" applyAlignment="1" applyProtection="1">
      <alignment horizontal="left" wrapText="1"/>
      <protection locked="0"/>
    </xf>
    <xf numFmtId="0" fontId="0" fillId="2" borderId="1" xfId="0" applyFill="1" applyBorder="1" applyAlignment="1" applyProtection="1">
      <alignment horizontal="left"/>
      <protection locked="0"/>
    </xf>
    <xf numFmtId="3" fontId="0" fillId="17" borderId="1" xfId="0" applyNumberFormat="1" applyFill="1" applyBorder="1" applyAlignment="1" applyProtection="1">
      <alignment vertical="center"/>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xf numFmtId="3" fontId="0" fillId="16" borderId="1" xfId="0" applyNumberFormat="1" applyFill="1" applyBorder="1" applyAlignment="1" applyProtection="1">
      <alignment vertical="center"/>
      <protection locked="0"/>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9" t="s">
        <v>34</v>
      </c>
      <c r="E6" s="180"/>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9" t="s">
        <v>34</v>
      </c>
      <c r="E6" s="180"/>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9" t="s">
        <v>35</v>
      </c>
      <c r="E8" s="180"/>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topLeftCell="A16" zoomScaleNormal="100" workbookViewId="0">
      <selection activeCell="D27" sqref="D27"/>
    </sheetView>
  </sheetViews>
  <sheetFormatPr defaultRowHeight="15" x14ac:dyDescent="0.25"/>
  <cols>
    <col min="2" max="2" width="45.140625" bestFit="1" customWidth="1"/>
    <col min="3" max="3" width="25.5703125" customWidth="1"/>
    <col min="4" max="4" width="6" style="91" customWidth="1"/>
    <col min="5" max="5" width="5.85546875" customWidth="1"/>
    <col min="6" max="6" width="54.5703125" customWidth="1"/>
    <col min="13" max="13" width="11.5703125" bestFit="1" customWidth="1"/>
  </cols>
  <sheetData>
    <row r="3" spans="2:19" ht="18.75" x14ac:dyDescent="0.3">
      <c r="B3" s="52" t="s">
        <v>87</v>
      </c>
      <c r="C3" s="53"/>
      <c r="D3" s="90"/>
      <c r="E3" s="53"/>
      <c r="F3" s="53"/>
    </row>
    <row r="5" spans="2:19" x14ac:dyDescent="0.25">
      <c r="B5" s="6" t="s">
        <v>0</v>
      </c>
    </row>
    <row r="6" spans="2:19" ht="30" x14ac:dyDescent="0.25">
      <c r="B6" s="4" t="s">
        <v>166</v>
      </c>
      <c r="C6" s="176" t="s">
        <v>282</v>
      </c>
      <c r="D6" s="92"/>
    </row>
    <row r="7" spans="2:19" x14ac:dyDescent="0.25">
      <c r="B7" s="4" t="s">
        <v>117</v>
      </c>
      <c r="C7" s="177" t="s">
        <v>118</v>
      </c>
      <c r="D7" s="64"/>
      <c r="E7" s="4"/>
      <c r="F7" t="s">
        <v>257</v>
      </c>
    </row>
    <row r="8" spans="2:19" x14ac:dyDescent="0.25">
      <c r="B8" s="4" t="s">
        <v>126</v>
      </c>
      <c r="C8" s="177" t="s">
        <v>281</v>
      </c>
      <c r="D8" s="64"/>
      <c r="E8" s="86"/>
      <c r="F8" t="s">
        <v>263</v>
      </c>
    </row>
    <row r="9" spans="2:19" x14ac:dyDescent="0.25">
      <c r="B9" s="4" t="s">
        <v>167</v>
      </c>
      <c r="C9" s="177" t="s">
        <v>283</v>
      </c>
      <c r="D9" s="64"/>
      <c r="E9" s="120"/>
      <c r="F9" t="s">
        <v>268</v>
      </c>
    </row>
    <row r="10" spans="2:19" x14ac:dyDescent="0.25">
      <c r="B10" s="4" t="s">
        <v>114</v>
      </c>
      <c r="C10" s="177" t="s">
        <v>284</v>
      </c>
      <c r="D10" s="64"/>
      <c r="E10" s="9"/>
      <c r="F10" t="s">
        <v>258</v>
      </c>
    </row>
    <row r="11" spans="2:19" x14ac:dyDescent="0.25">
      <c r="B11" s="4" t="s">
        <v>115</v>
      </c>
      <c r="C11" s="177" t="s">
        <v>285</v>
      </c>
      <c r="D11" s="64"/>
    </row>
    <row r="12" spans="2:19" x14ac:dyDescent="0.25">
      <c r="B12" s="4" t="s">
        <v>116</v>
      </c>
      <c r="C12" s="177">
        <v>0.55000000000000004</v>
      </c>
      <c r="D12" s="93"/>
      <c r="N12" s="181"/>
      <c r="O12" s="181"/>
      <c r="P12" s="181"/>
      <c r="Q12" s="181"/>
      <c r="R12" s="181"/>
      <c r="S12" s="181"/>
    </row>
    <row r="13" spans="2:19" x14ac:dyDescent="0.25">
      <c r="B13" s="4" t="s">
        <v>77</v>
      </c>
      <c r="C13" s="177">
        <v>216</v>
      </c>
      <c r="D13" s="64"/>
    </row>
    <row r="14" spans="2:19" x14ac:dyDescent="0.25">
      <c r="B14" s="4" t="s">
        <v>78</v>
      </c>
      <c r="C14" s="119"/>
      <c r="D14" s="64"/>
      <c r="G14" s="107"/>
    </row>
    <row r="15" spans="2:19" x14ac:dyDescent="0.25">
      <c r="B15" s="26"/>
      <c r="C15" s="64"/>
      <c r="D15" s="64"/>
    </row>
    <row r="16" spans="2:19" x14ac:dyDescent="0.25">
      <c r="B16" s="6" t="s">
        <v>253</v>
      </c>
    </row>
    <row r="17" spans="2:13" x14ac:dyDescent="0.25">
      <c r="B17" s="4" t="s">
        <v>103</v>
      </c>
      <c r="C17" s="117">
        <v>2028</v>
      </c>
      <c r="D17" s="94"/>
    </row>
    <row r="18" spans="2:13" x14ac:dyDescent="0.25">
      <c r="B18" s="4" t="s">
        <v>259</v>
      </c>
      <c r="C18" s="118" t="s">
        <v>176</v>
      </c>
      <c r="D18" s="26"/>
    </row>
    <row r="19" spans="2:13" x14ac:dyDescent="0.25">
      <c r="B19" s="120" t="s">
        <v>251</v>
      </c>
      <c r="C19" s="172">
        <f>VLOOKUP(C18,'CRF Lookup Table'!C3:F84,2, FALSE)</f>
        <v>517</v>
      </c>
      <c r="D19" s="95"/>
    </row>
    <row r="20" spans="2:13" x14ac:dyDescent="0.25">
      <c r="B20" s="120" t="s">
        <v>102</v>
      </c>
      <c r="C20" s="173">
        <f>VLOOKUP(C18,'CRF Lookup Table'!C3:F84,3, FALSE)</f>
        <v>0.28000000000000003</v>
      </c>
      <c r="D20" s="96"/>
      <c r="F20" s="68"/>
    </row>
    <row r="21" spans="2:13" x14ac:dyDescent="0.25">
      <c r="B21" s="120" t="s">
        <v>101</v>
      </c>
      <c r="C21" s="174">
        <f>VLOOKUP(C18,'CRF Lookup Table'!C3:F84,4, FALSE)</f>
        <v>20</v>
      </c>
      <c r="D21" s="96"/>
      <c r="F21" s="68"/>
    </row>
    <row r="22" spans="2:13" x14ac:dyDescent="0.25">
      <c r="F22" s="68"/>
      <c r="M22" s="104"/>
    </row>
    <row r="23" spans="2:13" x14ac:dyDescent="0.25">
      <c r="B23" s="26"/>
      <c r="C23" s="64"/>
      <c r="D23" s="64"/>
      <c r="F23" s="68"/>
    </row>
    <row r="24" spans="2:13" x14ac:dyDescent="0.25">
      <c r="B24" s="108" t="s">
        <v>79</v>
      </c>
      <c r="C24" s="73"/>
      <c r="D24" s="73"/>
      <c r="M24" s="104"/>
    </row>
    <row r="25" spans="2:13" x14ac:dyDescent="0.25">
      <c r="B25" s="4" t="s">
        <v>147</v>
      </c>
      <c r="C25" s="8">
        <v>11174</v>
      </c>
      <c r="D25" s="97"/>
      <c r="I25" s="49"/>
    </row>
    <row r="26" spans="2:13" x14ac:dyDescent="0.25">
      <c r="I26" s="49"/>
    </row>
    <row r="27" spans="2:13" x14ac:dyDescent="0.25">
      <c r="B27" s="86" t="s">
        <v>269</v>
      </c>
      <c r="C27" s="190">
        <v>4805</v>
      </c>
      <c r="D27" s="97"/>
      <c r="I27" s="49"/>
    </row>
    <row r="28" spans="2:13" x14ac:dyDescent="0.25">
      <c r="B28" s="86" t="s">
        <v>150</v>
      </c>
      <c r="C28" s="178">
        <v>5754</v>
      </c>
      <c r="D28" s="97"/>
      <c r="I28" s="49"/>
    </row>
    <row r="29" spans="2:13" x14ac:dyDescent="0.25">
      <c r="B29" s="86" t="s">
        <v>270</v>
      </c>
      <c r="C29" s="178">
        <v>4862</v>
      </c>
      <c r="D29" s="69"/>
      <c r="I29" s="49"/>
    </row>
    <row r="30" spans="2:13" x14ac:dyDescent="0.25">
      <c r="B30" s="86" t="s">
        <v>151</v>
      </c>
      <c r="C30" s="178">
        <v>5007</v>
      </c>
      <c r="D30" s="69"/>
      <c r="I30" s="49"/>
    </row>
    <row r="31" spans="2:13" x14ac:dyDescent="0.25">
      <c r="B31" s="86" t="s">
        <v>271</v>
      </c>
      <c r="C31" s="178">
        <v>6496</v>
      </c>
      <c r="D31" s="97"/>
      <c r="H31" s="70"/>
    </row>
    <row r="32" spans="2:13" x14ac:dyDescent="0.25">
      <c r="B32" s="86" t="s">
        <v>152</v>
      </c>
      <c r="C32" s="178">
        <v>5007</v>
      </c>
      <c r="D32" s="97"/>
    </row>
    <row r="34" spans="2:9" ht="18.75" x14ac:dyDescent="0.3">
      <c r="B34" s="52" t="s">
        <v>88</v>
      </c>
      <c r="C34" s="53"/>
      <c r="D34" s="90"/>
      <c r="E34" s="53"/>
      <c r="F34" s="53"/>
      <c r="I34" s="70"/>
    </row>
    <row r="36" spans="2:9" x14ac:dyDescent="0.25">
      <c r="B36" s="10" t="s">
        <v>86</v>
      </c>
    </row>
    <row r="37" spans="2:9" x14ac:dyDescent="0.25">
      <c r="B37" s="9" t="s">
        <v>113</v>
      </c>
      <c r="C37" s="175">
        <f>Calculations!U37</f>
        <v>1452.4096734583384</v>
      </c>
      <c r="D37" s="98"/>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69" customWidth="1"/>
    <col min="16" max="16" width="16.85546875" style="165" bestFit="1" customWidth="1"/>
    <col min="17" max="17" width="11.42578125" style="170"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5" t="s">
        <v>1</v>
      </c>
      <c r="D3" s="126" t="s">
        <v>252</v>
      </c>
      <c r="M3" s="127" t="s">
        <v>13</v>
      </c>
      <c r="N3" s="127" t="s">
        <v>135</v>
      </c>
      <c r="O3" s="128" t="s">
        <v>82</v>
      </c>
      <c r="P3" s="129" t="s">
        <v>14</v>
      </c>
      <c r="Q3" s="130" t="s">
        <v>83</v>
      </c>
      <c r="R3" s="127" t="s">
        <v>112</v>
      </c>
      <c r="S3" s="127" t="s">
        <v>81</v>
      </c>
      <c r="T3" s="127" t="s">
        <v>149</v>
      </c>
      <c r="U3" s="127" t="s">
        <v>156</v>
      </c>
    </row>
    <row r="4" spans="1:21" ht="15.75" x14ac:dyDescent="0.25">
      <c r="A4" s="124" t="s">
        <v>2</v>
      </c>
      <c r="B4" s="131">
        <v>2018</v>
      </c>
      <c r="D4" s="132" t="s">
        <v>144</v>
      </c>
      <c r="E4" s="133">
        <f>VLOOKUP(Year_Open_to_Traffic?,Calculations!M4:N36,2,Calculations!N4:N36)</f>
        <v>11808.776114515545</v>
      </c>
      <c r="G4" s="184" t="s">
        <v>260</v>
      </c>
      <c r="H4" s="184"/>
      <c r="I4" s="184"/>
      <c r="J4" s="184"/>
      <c r="L4" s="134"/>
      <c r="M4" s="135">
        <v>2018</v>
      </c>
      <c r="N4" s="136">
        <f>_2018_Volume_ADT</f>
        <v>11174</v>
      </c>
      <c r="O4" s="137" t="s">
        <v>85</v>
      </c>
      <c r="P4" s="138">
        <f>MIN(B12,1)</f>
        <v>0.83507125477928401</v>
      </c>
      <c r="Q4" s="139">
        <f>-(ROUNDUP(P4,0)-2)</f>
        <v>1</v>
      </c>
      <c r="R4" s="37">
        <f>IF(M4=Year_Open_to_Traffic?,Calculations!$J$5,0)</f>
        <v>0</v>
      </c>
      <c r="S4" s="54">
        <f t="shared" ref="S4:S36" si="0">IF(AND(M4&gt;=Year_Open_to_Traffic?,M4&lt;Year_Open_to_Traffic?+Years_to_include_in_BCA_Analysis),1,0)</f>
        <v>0</v>
      </c>
      <c r="T4" s="37">
        <f>(R4*S4)/10^3</f>
        <v>0</v>
      </c>
      <c r="U4" s="140">
        <f>T4/(1+Real_Discount_Rate)^(Calculations!M4-'Assumed Values'!$C$5)</f>
        <v>0</v>
      </c>
    </row>
    <row r="5" spans="1:21" ht="15.75" x14ac:dyDescent="0.25">
      <c r="A5" s="124" t="s">
        <v>56</v>
      </c>
      <c r="B5" s="124">
        <f>Service_Life</f>
        <v>20</v>
      </c>
      <c r="D5" s="132" t="s">
        <v>145</v>
      </c>
      <c r="E5" s="133">
        <f>$E$4*'Inputs &amp; Outputs'!$C$12</f>
        <v>6494.8268629835502</v>
      </c>
      <c r="G5" s="185" t="s">
        <v>261</v>
      </c>
      <c r="H5" s="185"/>
      <c r="I5" s="185"/>
      <c r="J5" s="141">
        <f>SUMPRODUCT(Possible_Crash_Reductions,'Value of Statistical Life'!E5:E11)</f>
        <v>252047.60749758029</v>
      </c>
      <c r="L5" s="134"/>
      <c r="M5" s="142">
        <f t="shared" ref="M5:M36" si="1">M4+1</f>
        <v>2019</v>
      </c>
      <c r="N5" s="143">
        <f>N4+(N4*O5)</f>
        <v>11192.840597433416</v>
      </c>
      <c r="O5" s="144">
        <f t="shared" ref="O5:O11" si="2">IF(ISERROR(_2025_2045_Demand_Growth),_2018_2045_Demand_Growth,_2018_2025_Demand_Growth)</f>
        <v>1.6861103842327196E-3</v>
      </c>
      <c r="P5" s="145">
        <f t="shared" ref="P5:P11" si="3">P4*(1+IFERROR(_2018_2025_V_C_Growth,_2018_2045_V_C_Growth))</f>
        <v>0.85326248736499455</v>
      </c>
      <c r="Q5" s="146">
        <f t="shared" ref="Q5:Q36" si="4">-(ROUNDUP(P5,0)-2)</f>
        <v>1</v>
      </c>
      <c r="R5" s="37">
        <f>IF(M5=Year_Open_to_Traffic?,Calculations!$J$5,Calculations!R4+(Calculations!R4*Calculations!O5*Q5))</f>
        <v>0</v>
      </c>
      <c r="S5" s="54">
        <f t="shared" si="0"/>
        <v>0</v>
      </c>
      <c r="T5" s="37">
        <f t="shared" ref="T5:T36" si="5">(R5*S5)/10^3</f>
        <v>0</v>
      </c>
      <c r="U5" s="140">
        <f>T5/(1+Real_Discount_Rate)^(Calculations!M5-'Assumed Values'!$C$5)</f>
        <v>0</v>
      </c>
    </row>
    <row r="6" spans="1:21" ht="15.75" x14ac:dyDescent="0.25">
      <c r="A6" s="124" t="s">
        <v>262</v>
      </c>
      <c r="B6" s="124">
        <v>260</v>
      </c>
      <c r="D6" s="132" t="s">
        <v>146</v>
      </c>
      <c r="E6" s="133">
        <f>$E$5*$B$6</f>
        <v>1688654.9843757229</v>
      </c>
      <c r="L6" s="134"/>
      <c r="M6" s="135">
        <f t="shared" si="1"/>
        <v>2020</v>
      </c>
      <c r="N6" s="143">
        <f t="shared" ref="N6:N36" si="6">N5+(N5*O6)</f>
        <v>11211.712962193811</v>
      </c>
      <c r="O6" s="144">
        <f t="shared" si="2"/>
        <v>1.6861103842327196E-3</v>
      </c>
      <c r="P6" s="145">
        <f t="shared" si="3"/>
        <v>0.87184999864080914</v>
      </c>
      <c r="Q6" s="146">
        <f t="shared" si="4"/>
        <v>1</v>
      </c>
      <c r="R6" s="37">
        <f>IF(M6=Year_Open_to_Traffic?,Calculations!$J$5,Calculations!R5+(Calculations!R5*Calculations!O6*Q6))</f>
        <v>0</v>
      </c>
      <c r="S6" s="54">
        <f t="shared" si="0"/>
        <v>0</v>
      </c>
      <c r="T6" s="37">
        <f t="shared" si="5"/>
        <v>0</v>
      </c>
      <c r="U6" s="140">
        <f>T6/(1+Real_Discount_Rate)^(Calculations!M6-'Assumed Values'!$C$5)</f>
        <v>0</v>
      </c>
    </row>
    <row r="7" spans="1:21" ht="15.75" x14ac:dyDescent="0.25">
      <c r="B7" s="122"/>
      <c r="L7" s="134"/>
      <c r="M7" s="142">
        <f t="shared" si="1"/>
        <v>2021</v>
      </c>
      <c r="N7" s="143">
        <f t="shared" si="6"/>
        <v>11230.617147844403</v>
      </c>
      <c r="O7" s="144">
        <f t="shared" si="2"/>
        <v>1.6861103842327196E-3</v>
      </c>
      <c r="P7" s="145">
        <f t="shared" si="3"/>
        <v>0.89084242116087098</v>
      </c>
      <c r="Q7" s="146">
        <f t="shared" si="4"/>
        <v>1</v>
      </c>
      <c r="R7" s="37">
        <f>IF(M7=Year_Open_to_Traffic?,Calculations!$J$5,Calculations!R6+(Calculations!R6*Calculations!O7*Q7))</f>
        <v>0</v>
      </c>
      <c r="S7" s="54">
        <f t="shared" si="0"/>
        <v>0</v>
      </c>
      <c r="T7" s="37">
        <f t="shared" si="5"/>
        <v>0</v>
      </c>
      <c r="U7" s="140">
        <f>T7/(1+Real_Discount_Rate)^(Calculations!M7-'Assumed Values'!$C$5)</f>
        <v>0</v>
      </c>
    </row>
    <row r="8" spans="1:21" ht="15.75" x14ac:dyDescent="0.25">
      <c r="A8" s="147" t="s">
        <v>15</v>
      </c>
      <c r="B8" s="123"/>
      <c r="D8" s="148" t="s">
        <v>143</v>
      </c>
      <c r="E8" s="149"/>
      <c r="L8" s="134"/>
      <c r="M8" s="135">
        <f t="shared" si="1"/>
        <v>2022</v>
      </c>
      <c r="N8" s="143">
        <f t="shared" si="6"/>
        <v>11249.553208038726</v>
      </c>
      <c r="O8" s="144">
        <f t="shared" si="2"/>
        <v>1.6861103842327196E-3</v>
      </c>
      <c r="P8" s="145">
        <f t="shared" si="3"/>
        <v>0.91024857553130034</v>
      </c>
      <c r="Q8" s="146">
        <f t="shared" si="4"/>
        <v>1</v>
      </c>
      <c r="R8" s="37">
        <f>IF(M8=Year_Open_to_Traffic?,Calculations!$J$5,Calculations!R7+(Calculations!R7*Calculations!O8*Q8))</f>
        <v>0</v>
      </c>
      <c r="S8" s="54">
        <f t="shared" si="0"/>
        <v>0</v>
      </c>
      <c r="T8" s="37">
        <f t="shared" si="5"/>
        <v>0</v>
      </c>
      <c r="U8" s="140">
        <f>T8/(1+Real_Discount_Rate)^(Calculations!M8-'Assumed Values'!$C$5)</f>
        <v>0</v>
      </c>
    </row>
    <row r="9" spans="1:21" ht="15.75" x14ac:dyDescent="0.25">
      <c r="A9" s="150" t="s">
        <v>76</v>
      </c>
      <c r="B9" s="151">
        <f>(_2025_Peak_Period_Volume/'Inputs &amp; Outputs'!$C$27)^(1/(2025-2018))-1</f>
        <v>1.6861103842327196E-3</v>
      </c>
      <c r="D9" s="150" t="s">
        <v>137</v>
      </c>
      <c r="E9" s="152">
        <f>IF('Inputs &amp; Outputs'!$C$8='CRASH RATES'!$D$3, VLOOKUP('Inputs &amp; Outputs'!$C$7,'CRASH RATES'!$C$14:$J$21,3,FALSE), VLOOKUP('Inputs &amp; Outputs'!$C$7,'CRASH RATES'!$C$28:$J$35,3,FALSE))</f>
        <v>1.7455741549787349</v>
      </c>
      <c r="F9" s="153"/>
      <c r="L9" s="134"/>
      <c r="M9" s="142">
        <f t="shared" si="1"/>
        <v>2023</v>
      </c>
      <c r="N9" s="143">
        <f t="shared" si="6"/>
        <v>11268.521196520778</v>
      </c>
      <c r="O9" s="144">
        <f t="shared" si="2"/>
        <v>1.6861103842327196E-3</v>
      </c>
      <c r="P9" s="145">
        <f t="shared" si="3"/>
        <v>0.93007747450672751</v>
      </c>
      <c r="Q9" s="146">
        <f t="shared" si="4"/>
        <v>1</v>
      </c>
      <c r="R9" s="37">
        <f>IF(M9=Year_Open_to_Traffic?,Calculations!$J$5,Calculations!R8+(Calculations!R8*Calculations!O9*Q9))</f>
        <v>0</v>
      </c>
      <c r="S9" s="54">
        <f t="shared" si="0"/>
        <v>0</v>
      </c>
      <c r="T9" s="37">
        <f t="shared" si="5"/>
        <v>0</v>
      </c>
      <c r="U9" s="140">
        <f>T9/(1+Real_Discount_Rate)^(Calculations!M9-'Assumed Values'!$C$5)</f>
        <v>0</v>
      </c>
    </row>
    <row r="10" spans="1:21" ht="15.75" x14ac:dyDescent="0.25">
      <c r="A10" s="150" t="s">
        <v>106</v>
      </c>
      <c r="B10" s="151">
        <f>(_2045_Peak_Period_Volume/_2025_Peak_Period_Volume)^(1/(2045-2025))-1</f>
        <v>1.4592279124085117E-2</v>
      </c>
      <c r="D10" s="150" t="s">
        <v>138</v>
      </c>
      <c r="E10" s="152">
        <f>IF('Inputs &amp; Outputs'!$C$8='CRASH RATES'!$D$3, VLOOKUP('Inputs &amp; Outputs'!$C$7,'CRASH RATES'!$C$14:$J$21,4,FALSE), VLOOKUP('Inputs &amp; Outputs'!$C$7,'CRASH RATES'!$C$28:$J$35,4,FALSE))</f>
        <v>8.8235958091989612</v>
      </c>
      <c r="F10" s="153"/>
      <c r="L10" s="134"/>
      <c r="M10" s="135">
        <f t="shared" si="1"/>
        <v>2024</v>
      </c>
      <c r="N10" s="143">
        <f t="shared" si="6"/>
        <v>11287.521167125178</v>
      </c>
      <c r="O10" s="144">
        <f t="shared" si="2"/>
        <v>1.6861103842327196E-3</v>
      </c>
      <c r="P10" s="145">
        <f t="shared" si="3"/>
        <v>0.95033832717606537</v>
      </c>
      <c r="Q10" s="146">
        <f t="shared" si="4"/>
        <v>1</v>
      </c>
      <c r="R10" s="37">
        <f>IF(M10=Year_Open_to_Traffic?,Calculations!$J$5,Calculations!R9+(Calculations!R9*Calculations!O10*Q10))</f>
        <v>0</v>
      </c>
      <c r="S10" s="54">
        <f t="shared" si="0"/>
        <v>0</v>
      </c>
      <c r="T10" s="37">
        <f t="shared" si="5"/>
        <v>0</v>
      </c>
      <c r="U10" s="140">
        <f>T10/(1+Real_Discount_Rate)^(Calculations!M10-'Assumed Values'!$C$5)</f>
        <v>0</v>
      </c>
    </row>
    <row r="11" spans="1:21" ht="15.75" x14ac:dyDescent="0.25">
      <c r="A11" s="150" t="s">
        <v>107</v>
      </c>
      <c r="B11" s="151">
        <f>(_2045_Peak_Period_Volume/'Inputs &amp; Outputs'!$C$27)^(1/(2045-2018))-1</f>
        <v>1.1230353734155152E-2</v>
      </c>
      <c r="D11" s="150" t="s">
        <v>139</v>
      </c>
      <c r="E11" s="152">
        <f>IF('Inputs &amp; Outputs'!$C$8='CRASH RATES'!$D$3, VLOOKUP('Inputs &amp; Outputs'!$C$7,'CRASH RATES'!$C$14:$J$21,5,FALSE), VLOOKUP('Inputs &amp; Outputs'!$C$7,'CRASH RATES'!$C$28:$J$35,5,FALSE))</f>
        <v>49.782648723119337</v>
      </c>
      <c r="F11" s="153"/>
      <c r="L11" s="134"/>
      <c r="M11" s="142">
        <f t="shared" si="1"/>
        <v>2025</v>
      </c>
      <c r="N11" s="143">
        <f t="shared" si="6"/>
        <v>11306.553173777314</v>
      </c>
      <c r="O11" s="144">
        <f t="shared" si="2"/>
        <v>1.6861103842327196E-3</v>
      </c>
      <c r="P11" s="145">
        <f t="shared" si="3"/>
        <v>0.97104054323946487</v>
      </c>
      <c r="Q11" s="146">
        <f t="shared" si="4"/>
        <v>1</v>
      </c>
      <c r="R11" s="37">
        <f>IF(M11=Year_Open_to_Traffic?,Calculations!$J$5,Calculations!R10+(Calculations!R10*Calculations!O11*Q11))</f>
        <v>0</v>
      </c>
      <c r="S11" s="54">
        <f t="shared" si="0"/>
        <v>0</v>
      </c>
      <c r="T11" s="37">
        <f t="shared" si="5"/>
        <v>0</v>
      </c>
      <c r="U11" s="140">
        <f>T11/(1+Real_Discount_Rate)^(Calculations!M11-'Assumed Values'!$C$5)</f>
        <v>0</v>
      </c>
    </row>
    <row r="12" spans="1:21" ht="15.75" x14ac:dyDescent="0.25">
      <c r="A12" s="150" t="s">
        <v>75</v>
      </c>
      <c r="B12" s="154">
        <f>'Inputs &amp; Outputs'!C27/_2018_Peak_Period_Capacity</f>
        <v>0.83507125477928401</v>
      </c>
      <c r="D12" s="150" t="s">
        <v>140</v>
      </c>
      <c r="E12" s="152">
        <f>IF('Inputs &amp; Outputs'!$C$8='CRASH RATES'!$D$3, VLOOKUP('Inputs &amp; Outputs'!$C$7,'CRASH RATES'!$C$14:$J$21,6,FALSE), VLOOKUP('Inputs &amp; Outputs'!$C$7,'CRASH RATES'!$C$28:$J$35,6,FALSE))</f>
        <v>124.27924895011503</v>
      </c>
      <c r="F12" s="153"/>
      <c r="L12" s="134"/>
      <c r="M12" s="135">
        <f t="shared" si="1"/>
        <v>2026</v>
      </c>
      <c r="N12" s="143">
        <f t="shared" si="6"/>
        <v>11471.541553620384</v>
      </c>
      <c r="O12" s="144">
        <f t="shared" ref="O12:O36" si="7">IFERROR(_2025_2045_Demand_Growth,_2018_2045_Demand_Growth)</f>
        <v>1.4592279124085117E-2</v>
      </c>
      <c r="P12" s="145">
        <f t="shared" ref="P12:P36" si="8">P11*(1+IFERROR(_2025_2040_V_C_Growth,_2018_2045_V_C_Growth))</f>
        <v>0.9852102378872184</v>
      </c>
      <c r="Q12" s="146">
        <f t="shared" si="4"/>
        <v>1</v>
      </c>
      <c r="R12" s="37">
        <f>IF(M12=Year_Open_to_Traffic?,Calculations!$J$5,Calculations!R11+(Calculations!R11*Calculations!O12*Q12))</f>
        <v>0</v>
      </c>
      <c r="S12" s="54">
        <f t="shared" si="0"/>
        <v>0</v>
      </c>
      <c r="T12" s="37">
        <f t="shared" si="5"/>
        <v>0</v>
      </c>
      <c r="U12" s="140">
        <f>T12/(1+Real_Discount_Rate)^(Calculations!M12-'Assumed Values'!$C$5)</f>
        <v>0</v>
      </c>
    </row>
    <row r="13" spans="1:21" ht="15.75" x14ac:dyDescent="0.25">
      <c r="A13" s="150" t="s">
        <v>74</v>
      </c>
      <c r="B13" s="154">
        <f>_2025_Peak_Period_Volume/_2025_Peak_Period_Capacity</f>
        <v>0.97104054323946476</v>
      </c>
      <c r="D13" s="150" t="s">
        <v>141</v>
      </c>
      <c r="E13" s="152">
        <f>IF('Inputs &amp; Outputs'!$C$8='CRASH RATES'!$D$3, VLOOKUP('Inputs &amp; Outputs'!$C$7,'CRASH RATES'!$C$14:$J$21,7,FALSE), VLOOKUP('Inputs &amp; Outputs'!$C$7,'CRASH RATES'!$C$28:$J$35,7,FALSE))</f>
        <v>963.65828946693784</v>
      </c>
      <c r="F13" s="153"/>
      <c r="L13" s="134"/>
      <c r="M13" s="142">
        <f t="shared" si="1"/>
        <v>2027</v>
      </c>
      <c r="N13" s="143">
        <f t="shared" si="6"/>
        <v>11638.937489954353</v>
      </c>
      <c r="O13" s="144">
        <f t="shared" si="7"/>
        <v>1.4592279124085117E-2</v>
      </c>
      <c r="P13" s="145">
        <f t="shared" si="8"/>
        <v>0.99958670067437494</v>
      </c>
      <c r="Q13" s="146">
        <f t="shared" si="4"/>
        <v>1</v>
      </c>
      <c r="R13" s="37">
        <f>IF(M13=Year_Open_to_Traffic?,Calculations!$J$5,Calculations!R12+(Calculations!R12*Calculations!O13*Q13))</f>
        <v>0</v>
      </c>
      <c r="S13" s="54">
        <f t="shared" si="0"/>
        <v>0</v>
      </c>
      <c r="T13" s="37">
        <f t="shared" si="5"/>
        <v>0</v>
      </c>
      <c r="U13" s="140">
        <f>T13/(1+Real_Discount_Rate)^(Calculations!M13-'Assumed Values'!$C$5)</f>
        <v>0</v>
      </c>
    </row>
    <row r="14" spans="1:21" ht="15.75" x14ac:dyDescent="0.25">
      <c r="A14" s="150" t="s">
        <v>148</v>
      </c>
      <c r="B14" s="154">
        <f>_2045_Peak_Period_Volume/_2045_Peak_Period_Capacity</f>
        <v>1.2973836628719793</v>
      </c>
      <c r="D14" s="150" t="s">
        <v>142</v>
      </c>
      <c r="E14" s="152">
        <f>IF('Inputs &amp; Outputs'!$C$8='CRASH RATES'!$D$3, VLOOKUP('Inputs &amp; Outputs'!$C$7,'CRASH RATES'!$C$14:$J$21,8,FALSE), VLOOKUP('Inputs &amp; Outputs'!$C$7,'CRASH RATES'!$C$28:$J$35,8,FALSE))</f>
        <v>83.618632907852302</v>
      </c>
      <c r="F14" s="153"/>
      <c r="L14" s="134"/>
      <c r="M14" s="135">
        <f>M13+1</f>
        <v>2028</v>
      </c>
      <c r="N14" s="143">
        <f t="shared" si="6"/>
        <v>11808.776114515545</v>
      </c>
      <c r="O14" s="144">
        <f t="shared" si="7"/>
        <v>1.4592279124085117E-2</v>
      </c>
      <c r="P14" s="145">
        <f>P13*(1+IFERROR(_2025_2040_V_C_Growth,_2018_2045_V_C_Growth))</f>
        <v>1.0141729488193387</v>
      </c>
      <c r="Q14" s="146">
        <f t="shared" si="4"/>
        <v>0</v>
      </c>
      <c r="R14" s="37">
        <f>IF(M14=Year_Open_to_Traffic?,Calculations!$J$5,Calculations!R13+(Calculations!R13*Calculations!O14*Q14))</f>
        <v>252047.60749758029</v>
      </c>
      <c r="S14" s="54">
        <f t="shared" si="0"/>
        <v>1</v>
      </c>
      <c r="T14" s="37">
        <f t="shared" si="5"/>
        <v>252.04760749758029</v>
      </c>
      <c r="U14" s="140">
        <f>T14/(1+Real_Discount_Rate)^(Calculations!M14-'Assumed Values'!$C$5)</f>
        <v>128.12822285564414</v>
      </c>
    </row>
    <row r="15" spans="1:21" ht="15.75" x14ac:dyDescent="0.25">
      <c r="A15" s="150" t="s">
        <v>80</v>
      </c>
      <c r="B15" s="151">
        <f>(B13/B12)^(1/(2025-2018))-1</f>
        <v>2.1784048345094398E-2</v>
      </c>
      <c r="L15" s="134"/>
      <c r="M15" s="142">
        <f>M14+1</f>
        <v>2029</v>
      </c>
      <c r="N15" s="143">
        <f t="shared" si="6"/>
        <v>11981.093071692385</v>
      </c>
      <c r="O15" s="144">
        <f t="shared" si="7"/>
        <v>1.4592279124085117E-2</v>
      </c>
      <c r="P15" s="145">
        <f>P14*(1+IFERROR(_2025_2040_V_C_Growth,_2018_2045_V_C_Growth))</f>
        <v>1.0289720435686069</v>
      </c>
      <c r="Q15" s="146">
        <f t="shared" si="4"/>
        <v>0</v>
      </c>
      <c r="R15" s="37">
        <f>IF(M15=Year_Open_to_Traffic?,Calculations!$J$5,Calculations!R14+(Calculations!R14*Calculations!O15*Q15))</f>
        <v>252047.60749758029</v>
      </c>
      <c r="S15" s="54">
        <f t="shared" si="0"/>
        <v>1</v>
      </c>
      <c r="T15" s="37">
        <f t="shared" si="5"/>
        <v>252.04760749758029</v>
      </c>
      <c r="U15" s="140">
        <f>T15/(1+Real_Discount_Rate)^(Calculations!M15-'Assumed Values'!$C$5)</f>
        <v>119.74600266882628</v>
      </c>
    </row>
    <row r="16" spans="1:21" ht="15.75" x14ac:dyDescent="0.25">
      <c r="A16" s="150" t="s">
        <v>108</v>
      </c>
      <c r="B16" s="151">
        <f>(B14/B13)^(1/(2045-2025))-1</f>
        <v>1.4592279124085117E-2</v>
      </c>
      <c r="D16" s="155" t="s">
        <v>136</v>
      </c>
      <c r="E16" s="149"/>
      <c r="L16" s="134"/>
      <c r="M16" s="135">
        <f t="shared" si="1"/>
        <v>2030</v>
      </c>
      <c r="N16" s="143">
        <f t="shared" si="6"/>
        <v>12155.924526006162</v>
      </c>
      <c r="O16" s="144">
        <f t="shared" si="7"/>
        <v>1.4592279124085117E-2</v>
      </c>
      <c r="P16" s="145">
        <f t="shared" si="8"/>
        <v>1.0439870908392404</v>
      </c>
      <c r="Q16" s="146">
        <f t="shared" si="4"/>
        <v>0</v>
      </c>
      <c r="R16" s="37">
        <f>IF(M16=Year_Open_to_Traffic?,Calculations!$J$5,Calculations!R15+(Calculations!R15*Calculations!O16*Q16))</f>
        <v>252047.60749758029</v>
      </c>
      <c r="S16" s="54">
        <f t="shared" si="0"/>
        <v>1</v>
      </c>
      <c r="T16" s="37">
        <f t="shared" si="5"/>
        <v>252.04760749758029</v>
      </c>
      <c r="U16" s="140">
        <f>T16/(1+Real_Discount_Rate)^(Calculations!M16-'Assumed Values'!$C$5)</f>
        <v>111.91215202694046</v>
      </c>
    </row>
    <row r="17" spans="1:21" ht="15.75" x14ac:dyDescent="0.25">
      <c r="A17" s="150" t="s">
        <v>109</v>
      </c>
      <c r="B17" s="151">
        <f>(B14/B12)^(1/(2045-2018))-1</f>
        <v>1.6451936946156875E-2</v>
      </c>
      <c r="D17" s="150" t="s">
        <v>89</v>
      </c>
      <c r="E17" s="156">
        <f>($E$6*Death_Rate)/100000000</f>
        <v>2.9476724974022817E-2</v>
      </c>
      <c r="L17" s="134"/>
      <c r="M17" s="142">
        <f t="shared" si="1"/>
        <v>2031</v>
      </c>
      <c r="N17" s="143">
        <f t="shared" si="6"/>
        <v>12333.307169700956</v>
      </c>
      <c r="O17" s="144">
        <f t="shared" si="7"/>
        <v>1.4592279124085117E-2</v>
      </c>
      <c r="P17" s="145">
        <f t="shared" si="8"/>
        <v>1.0592212418707081</v>
      </c>
      <c r="Q17" s="146">
        <f t="shared" si="4"/>
        <v>0</v>
      </c>
      <c r="R17" s="37">
        <f>IF(M17=Year_Open_to_Traffic?,Calculations!$J$5,Calculations!R16+(Calculations!R16*Calculations!O17*Q17))</f>
        <v>252047.60749758029</v>
      </c>
      <c r="S17" s="54">
        <f t="shared" si="0"/>
        <v>1</v>
      </c>
      <c r="T17" s="37">
        <f t="shared" si="5"/>
        <v>252.04760749758029</v>
      </c>
      <c r="U17" s="140">
        <f>T17/(1+Real_Discount_Rate)^(Calculations!M17-'Assumed Values'!$C$5)</f>
        <v>104.59079628686024</v>
      </c>
    </row>
    <row r="18" spans="1:21" ht="15.75" x14ac:dyDescent="0.25">
      <c r="D18" s="150" t="s">
        <v>94</v>
      </c>
      <c r="E18" s="156">
        <f>($E$6*Incap_Injry_Rate)/100000000</f>
        <v>0.14900009043320567</v>
      </c>
      <c r="L18" s="134"/>
      <c r="M18" s="135">
        <f t="shared" si="1"/>
        <v>2032</v>
      </c>
      <c r="N18" s="143">
        <f t="shared" si="6"/>
        <v>12513.278230444314</v>
      </c>
      <c r="O18" s="144">
        <f t="shared" si="7"/>
        <v>1.4592279124085117E-2</v>
      </c>
      <c r="P18" s="145">
        <f t="shared" si="8"/>
        <v>1.0746776938862455</v>
      </c>
      <c r="Q18" s="146">
        <f t="shared" si="4"/>
        <v>0</v>
      </c>
      <c r="R18" s="37">
        <f>IF(M18=Year_Open_to_Traffic?,Calculations!$J$5,Calculations!R17+(Calculations!R17*Calculations!O18*Q18))</f>
        <v>252047.60749758029</v>
      </c>
      <c r="S18" s="54">
        <f t="shared" si="0"/>
        <v>1</v>
      </c>
      <c r="T18" s="37">
        <f t="shared" si="5"/>
        <v>252.04760749758029</v>
      </c>
      <c r="U18" s="140">
        <f>T18/(1+Real_Discount_Rate)^(Calculations!M18-'Assumed Values'!$C$5)</f>
        <v>97.748407744729207</v>
      </c>
    </row>
    <row r="19" spans="1:21" ht="15.75" x14ac:dyDescent="0.25">
      <c r="D19" s="150" t="s">
        <v>93</v>
      </c>
      <c r="E19" s="156">
        <f>($E$6*Nonincap_Injry_Rate)/100000000</f>
        <v>0.84065717901721193</v>
      </c>
      <c r="L19" s="134"/>
      <c r="M19" s="142">
        <f t="shared" si="1"/>
        <v>2033</v>
      </c>
      <c r="N19" s="143">
        <f t="shared" si="6"/>
        <v>12695.875479140295</v>
      </c>
      <c r="O19" s="144">
        <f t="shared" si="7"/>
        <v>1.4592279124085117E-2</v>
      </c>
      <c r="P19" s="145">
        <f t="shared" si="8"/>
        <v>1.0903596907638617</v>
      </c>
      <c r="Q19" s="146">
        <f t="shared" si="4"/>
        <v>0</v>
      </c>
      <c r="R19" s="37">
        <f>IF(M19=Year_Open_to_Traffic?,Calculations!$J$5,Calculations!R18+(Calculations!R18*Calculations!O19*Q19))</f>
        <v>252047.60749758029</v>
      </c>
      <c r="S19" s="54">
        <f t="shared" si="0"/>
        <v>1</v>
      </c>
      <c r="T19" s="37">
        <f t="shared" si="5"/>
        <v>252.04760749758029</v>
      </c>
      <c r="U19" s="140">
        <f>T19/(1+Real_Discount_Rate)^(Calculations!M19-'Assumed Values'!$C$5)</f>
        <v>91.353652097877742</v>
      </c>
    </row>
    <row r="20" spans="1:21" ht="15.75" x14ac:dyDescent="0.25">
      <c r="D20" s="150" t="s">
        <v>92</v>
      </c>
      <c r="E20" s="156">
        <f>($E$6*Poss_Injry_Rate/100000000)</f>
        <v>2.0986477319408308</v>
      </c>
      <c r="L20" s="134"/>
      <c r="M20" s="135">
        <f t="shared" si="1"/>
        <v>2034</v>
      </c>
      <c r="N20" s="143">
        <f t="shared" si="6"/>
        <v>12881.137237856537</v>
      </c>
      <c r="O20" s="144">
        <f t="shared" si="7"/>
        <v>1.4592279124085117E-2</v>
      </c>
      <c r="P20" s="145">
        <f t="shared" si="8"/>
        <v>1.1062705237171391</v>
      </c>
      <c r="Q20" s="146">
        <f t="shared" si="4"/>
        <v>0</v>
      </c>
      <c r="R20" s="37">
        <f>IF(M20=Year_Open_to_Traffic?,Calculations!$J$5,Calculations!R19+(Calculations!R19*Calculations!O20*Q20))</f>
        <v>252047.60749758029</v>
      </c>
      <c r="S20" s="54">
        <f t="shared" si="0"/>
        <v>1</v>
      </c>
      <c r="T20" s="37">
        <f t="shared" si="5"/>
        <v>252.04760749758029</v>
      </c>
      <c r="U20" s="140">
        <f>T20/(1+Real_Discount_Rate)^(Calculations!M20-'Assumed Values'!$C$5)</f>
        <v>85.377244951287622</v>
      </c>
    </row>
    <row r="21" spans="1:21" ht="15.75" x14ac:dyDescent="0.25">
      <c r="D21" s="150" t="s">
        <v>91</v>
      </c>
      <c r="E21" s="156">
        <f>($E$6*Non_Injry_Rate)/100000000</f>
        <v>16.27286373743328</v>
      </c>
      <c r="L21" s="134"/>
      <c r="M21" s="142">
        <f>M20+1</f>
        <v>2035</v>
      </c>
      <c r="N21" s="143">
        <f t="shared" si="6"/>
        <v>13069.102387866988</v>
      </c>
      <c r="O21" s="144">
        <f t="shared" si="7"/>
        <v>1.4592279124085117E-2</v>
      </c>
      <c r="P21" s="145">
        <f>P20*(1+IFERROR(_2025_2040_V_C_Growth,_2018_2045_V_C_Growth))</f>
        <v>1.1224135319859674</v>
      </c>
      <c r="Q21" s="146">
        <f t="shared" si="4"/>
        <v>0</v>
      </c>
      <c r="R21" s="37">
        <f>IF(M21=Year_Open_to_Traffic?,Calculations!$J$5,Calculations!R20+(Calculations!R20*Calculations!O21*Q21))</f>
        <v>252047.60749758029</v>
      </c>
      <c r="S21" s="54">
        <f t="shared" si="0"/>
        <v>1</v>
      </c>
      <c r="T21" s="37">
        <f t="shared" si="5"/>
        <v>252.04760749758029</v>
      </c>
      <c r="U21" s="140">
        <f>T21/(1+Real_Discount_Rate)^(Calculations!M21-'Assumed Values'!$C$5)</f>
        <v>79.791817711483759</v>
      </c>
    </row>
    <row r="22" spans="1:21" ht="15.75" x14ac:dyDescent="0.25">
      <c r="D22" s="150" t="s">
        <v>90</v>
      </c>
      <c r="E22" s="156">
        <f>($E$6*Unkn_Injry_Rate)/100000000</f>
        <v>1.4120302124652866</v>
      </c>
      <c r="L22" s="134"/>
      <c r="M22" s="135">
        <f>M21+1</f>
        <v>2036</v>
      </c>
      <c r="N22" s="143">
        <f t="shared" si="6"/>
        <v>13259.810377811989</v>
      </c>
      <c r="O22" s="144">
        <f t="shared" si="7"/>
        <v>1.4592279124085117E-2</v>
      </c>
      <c r="P22" s="145">
        <f t="shared" si="8"/>
        <v>1.1387921035373569</v>
      </c>
      <c r="Q22" s="146">
        <f t="shared" si="4"/>
        <v>0</v>
      </c>
      <c r="R22" s="37">
        <f>IF(M22=Year_Open_to_Traffic?,Calculations!$J$5,Calculations!R21+(Calculations!R21*Calculations!O22*Q22))</f>
        <v>252047.60749758029</v>
      </c>
      <c r="S22" s="54">
        <f t="shared" si="0"/>
        <v>1</v>
      </c>
      <c r="T22" s="37">
        <f t="shared" si="5"/>
        <v>252.04760749758029</v>
      </c>
      <c r="U22" s="140">
        <f>T22/(1+Real_Discount_Rate)^(Calculations!M22-'Assumed Values'!$C$5)</f>
        <v>74.571792253723132</v>
      </c>
    </row>
    <row r="23" spans="1:21" ht="15.75" x14ac:dyDescent="0.25">
      <c r="L23" s="134"/>
      <c r="M23" s="142">
        <f t="shared" si="1"/>
        <v>2037</v>
      </c>
      <c r="N23" s="143">
        <f t="shared" si="6"/>
        <v>13453.301231977463</v>
      </c>
      <c r="O23" s="144">
        <f t="shared" si="7"/>
        <v>1.4592279124085117E-2</v>
      </c>
      <c r="P23" s="145">
        <f t="shared" si="8"/>
        <v>1.155409675776478</v>
      </c>
      <c r="Q23" s="146">
        <f t="shared" si="4"/>
        <v>0</v>
      </c>
      <c r="R23" s="37">
        <f>IF(M23=Year_Open_to_Traffic?,Calculations!$J$5,Calculations!R22+(Calculations!R22*Calculations!O23*Q23))</f>
        <v>252047.60749758029</v>
      </c>
      <c r="S23" s="54">
        <f t="shared" si="0"/>
        <v>1</v>
      </c>
      <c r="T23" s="37">
        <f t="shared" si="5"/>
        <v>252.04760749758029</v>
      </c>
      <c r="U23" s="140">
        <f>T23/(1+Real_Discount_Rate)^(Calculations!M23-'Assumed Values'!$C$5)</f>
        <v>69.693263788526295</v>
      </c>
    </row>
    <row r="24" spans="1:21" ht="15.75" x14ac:dyDescent="0.25">
      <c r="L24" s="134"/>
      <c r="M24" s="135">
        <f t="shared" si="1"/>
        <v>2038</v>
      </c>
      <c r="N24" s="143">
        <f t="shared" si="6"/>
        <v>13649.615558694875</v>
      </c>
      <c r="O24" s="144">
        <f t="shared" si="7"/>
        <v>1.4592279124085117E-2</v>
      </c>
      <c r="P24" s="145">
        <f t="shared" si="8"/>
        <v>1.1722697362680772</v>
      </c>
      <c r="Q24" s="146">
        <f t="shared" si="4"/>
        <v>0</v>
      </c>
      <c r="R24" s="37">
        <f>IF(M24=Year_Open_to_Traffic?,Calculations!$J$5,Calculations!R23+(Calculations!R23*Calculations!O24*Q24))</f>
        <v>252047.60749758029</v>
      </c>
      <c r="S24" s="54">
        <f t="shared" si="0"/>
        <v>1</v>
      </c>
      <c r="T24" s="37">
        <f t="shared" si="5"/>
        <v>252.04760749758029</v>
      </c>
      <c r="U24" s="140">
        <f>T24/(1+Real_Discount_Rate)^(Calculations!M24-'Assumed Values'!$C$5)</f>
        <v>65.133891391146079</v>
      </c>
    </row>
    <row r="25" spans="1:21" ht="15.75" x14ac:dyDescent="0.25">
      <c r="A25" s="182" t="s">
        <v>99</v>
      </c>
      <c r="B25" s="182"/>
      <c r="D25" s="157" t="s">
        <v>89</v>
      </c>
      <c r="E25" s="157" t="s">
        <v>94</v>
      </c>
      <c r="F25" s="157" t="s">
        <v>93</v>
      </c>
      <c r="G25" s="157" t="s">
        <v>92</v>
      </c>
      <c r="H25" s="157" t="s">
        <v>91</v>
      </c>
      <c r="I25" s="157" t="s">
        <v>90</v>
      </c>
      <c r="J25" s="183" t="s">
        <v>100</v>
      </c>
      <c r="L25" s="134"/>
      <c r="M25" s="142">
        <f t="shared" si="1"/>
        <v>2039</v>
      </c>
      <c r="N25" s="143">
        <f t="shared" si="6"/>
        <v>13848.794558863807</v>
      </c>
      <c r="O25" s="144">
        <f t="shared" si="7"/>
        <v>1.4592279124085117E-2</v>
      </c>
      <c r="P25" s="145">
        <f t="shared" si="8"/>
        <v>1.1893758234684186</v>
      </c>
      <c r="Q25" s="146">
        <f t="shared" si="4"/>
        <v>0</v>
      </c>
      <c r="R25" s="37">
        <f>IF(M25=Year_Open_to_Traffic?,Calculations!$J$5,Calculations!R24+(Calculations!R24*Calculations!O25*Q25))</f>
        <v>252047.60749758029</v>
      </c>
      <c r="S25" s="54">
        <f t="shared" si="0"/>
        <v>1</v>
      </c>
      <c r="T25" s="37">
        <f t="shared" si="5"/>
        <v>252.04760749758029</v>
      </c>
      <c r="U25" s="140">
        <f>T25/(1+Real_Discount_Rate)^(Calculations!M25-'Assumed Values'!$C$5)</f>
        <v>60.872795692659878</v>
      </c>
    </row>
    <row r="26" spans="1:21" ht="15.75" x14ac:dyDescent="0.25">
      <c r="A26" s="182"/>
      <c r="B26" s="182"/>
      <c r="D26" s="158">
        <f>Calculations!E17</f>
        <v>2.9476724974022817E-2</v>
      </c>
      <c r="E26" s="158">
        <f>Calculations!E18</f>
        <v>0.14900009043320567</v>
      </c>
      <c r="F26" s="158">
        <f>Calculations!E19</f>
        <v>0.84065717901721193</v>
      </c>
      <c r="G26" s="158">
        <f>Calculations!E20</f>
        <v>2.0986477319408308</v>
      </c>
      <c r="H26" s="158">
        <f>Calculations!E21</f>
        <v>16.27286373743328</v>
      </c>
      <c r="I26" s="158">
        <f>Calculations!E22</f>
        <v>1.4120302124652866</v>
      </c>
      <c r="J26" s="183"/>
      <c r="L26" s="134"/>
      <c r="M26" s="135">
        <f t="shared" si="1"/>
        <v>2040</v>
      </c>
      <c r="N26" s="143">
        <f t="shared" si="6"/>
        <v>14050.880034598858</v>
      </c>
      <c r="O26" s="144">
        <f t="shared" si="7"/>
        <v>1.4592279124085117E-2</v>
      </c>
      <c r="P26" s="145">
        <f t="shared" si="8"/>
        <v>1.2067315274679085</v>
      </c>
      <c r="Q26" s="146">
        <f t="shared" si="4"/>
        <v>0</v>
      </c>
      <c r="R26" s="37">
        <f>IF(M26=Year_Open_to_Traffic?,Calculations!$J$5,Calculations!R25+(Calculations!R25*Calculations!O26*Q26))</f>
        <v>252047.60749758029</v>
      </c>
      <c r="S26" s="54">
        <f t="shared" si="0"/>
        <v>1</v>
      </c>
      <c r="T26" s="37">
        <f t="shared" si="5"/>
        <v>252.04760749758029</v>
      </c>
      <c r="U26" s="140">
        <f>T26/(1+Real_Discount_Rate)^(Calculations!M26-'Assumed Values'!$C$5)</f>
        <v>56.890463264168112</v>
      </c>
    </row>
    <row r="27" spans="1:21" ht="15.75" x14ac:dyDescent="0.25">
      <c r="A27" s="159" t="s">
        <v>95</v>
      </c>
      <c r="B27" s="160" t="s">
        <v>96</v>
      </c>
      <c r="D27" s="161">
        <f>D$26*'Value of Statistical Life'!D17*Appropriate_Crash_Reduction_Factor</f>
        <v>0</v>
      </c>
      <c r="E27" s="161">
        <f>E$26*'Value of Statistical Life'!E17*Appropriate_Crash_Reduction_Factor</f>
        <v>1.4339172702929981E-3</v>
      </c>
      <c r="F27" s="161">
        <f>F$26*'Value of Statistical Life'!F17*Appropriate_Crash_Reduction_Factor</f>
        <v>1.9647503325118675E-2</v>
      </c>
      <c r="G27" s="161">
        <f>G$26*'Value of Statistical Life'!G17*Appropriate_Crash_Reduction_Factor</f>
        <v>0.13772081930179231</v>
      </c>
      <c r="H27" s="161">
        <f>H$26*'Value of Statistical Life'!H17*Appropriate_Crash_Reduction_Factor</f>
        <v>4.2162208846230236</v>
      </c>
      <c r="I27" s="161">
        <f>I$26*'Value of Statistical Life'!I17*Appropriate_Crash_Reduction_Factor</f>
        <v>0.1726811283669748</v>
      </c>
      <c r="J27" s="161">
        <f t="shared" ref="J27:J33" si="9">SUM(D27:I27)</f>
        <v>4.5477042528872023</v>
      </c>
      <c r="K27" s="162"/>
      <c r="L27" s="134"/>
      <c r="M27" s="142">
        <f t="shared" si="1"/>
        <v>2041</v>
      </c>
      <c r="N27" s="143">
        <f t="shared" si="6"/>
        <v>14255.91439800276</v>
      </c>
      <c r="O27" s="144">
        <f t="shared" si="7"/>
        <v>1.4592279124085117E-2</v>
      </c>
      <c r="P27" s="145">
        <f t="shared" si="8"/>
        <v>1.2243404907445539</v>
      </c>
      <c r="Q27" s="146">
        <f t="shared" si="4"/>
        <v>0</v>
      </c>
      <c r="R27" s="37">
        <f>IF(M27=Year_Open_to_Traffic?,Calculations!$J$5,Calculations!R26+(Calculations!R26*Calculations!O27*Q27))</f>
        <v>252047.60749758029</v>
      </c>
      <c r="S27" s="54">
        <f t="shared" si="0"/>
        <v>1</v>
      </c>
      <c r="T27" s="37">
        <f t="shared" si="5"/>
        <v>252.04760749758029</v>
      </c>
      <c r="U27" s="140">
        <f>T27/(1+Real_Discount_Rate)^(Calculations!M27-'Assumed Values'!$C$5)</f>
        <v>53.168657256231882</v>
      </c>
    </row>
    <row r="28" spans="1:21" ht="15.75" x14ac:dyDescent="0.25">
      <c r="A28" s="159" t="s">
        <v>61</v>
      </c>
      <c r="B28" s="163" t="s">
        <v>62</v>
      </c>
      <c r="D28" s="161">
        <f>D$26*'Value of Statistical Life'!D18*Appropriate_Crash_Reduction_Factor</f>
        <v>0</v>
      </c>
      <c r="E28" s="161">
        <f>E$26*'Value of Statistical Life'!E18*Appropriate_Crash_Reduction_Factor</f>
        <v>2.3133336840406301E-2</v>
      </c>
      <c r="F28" s="161">
        <f>F$26*'Value of Statistical Life'!F18*Appropriate_Crash_Reduction_Factor</f>
        <v>0.18087613490021492</v>
      </c>
      <c r="G28" s="161">
        <f>G$26*'Value of Statistical Life'!G18*Appropriate_Crash_Reduction_Factor</f>
        <v>0.40514142627389904</v>
      </c>
      <c r="H28" s="161">
        <f>H$26*'Value of Statistical Life'!H18*Appropriate_Crash_Reduction_Factor</f>
        <v>0.33065808199914926</v>
      </c>
      <c r="I28" s="161">
        <f>I$26*'Value of Statistical Life'!I18*Appropriate_Crash_Reduction_Factor</f>
        <v>0.1650228413066481</v>
      </c>
      <c r="J28" s="161">
        <f t="shared" si="9"/>
        <v>1.1048318213203177</v>
      </c>
      <c r="K28" s="162"/>
      <c r="L28" s="134"/>
      <c r="M28" s="135">
        <f t="shared" si="1"/>
        <v>2042</v>
      </c>
      <c r="N28" s="143">
        <f t="shared" si="6"/>
        <v>14463.940680067481</v>
      </c>
      <c r="O28" s="144">
        <f t="shared" si="7"/>
        <v>1.4592279124085117E-2</v>
      </c>
      <c r="P28" s="145">
        <f t="shared" si="8"/>
        <v>1.2422064089284177</v>
      </c>
      <c r="Q28" s="146">
        <f t="shared" si="4"/>
        <v>0</v>
      </c>
      <c r="R28" s="37">
        <f>IF(M28=Year_Open_to_Traffic?,Calculations!$J$5,Calculations!R27+(Calculations!R27*Calculations!O28*Q28))</f>
        <v>252047.60749758029</v>
      </c>
      <c r="S28" s="54">
        <f t="shared" si="0"/>
        <v>1</v>
      </c>
      <c r="T28" s="37">
        <f t="shared" si="5"/>
        <v>252.04760749758029</v>
      </c>
      <c r="U28" s="140">
        <f>T28/(1+Real_Discount_Rate)^(Calculations!M28-'Assumed Values'!$C$5)</f>
        <v>49.690333884328858</v>
      </c>
    </row>
    <row r="29" spans="1:21" ht="15.75" x14ac:dyDescent="0.25">
      <c r="A29" s="159" t="s">
        <v>63</v>
      </c>
      <c r="B29" s="163" t="s">
        <v>64</v>
      </c>
      <c r="D29" s="161">
        <f>D$26*'Value of Statistical Life'!D19*Appropriate_Crash_Reduction_Factor</f>
        <v>0</v>
      </c>
      <c r="E29" s="161">
        <f>E$26*'Value of Statistical Life'!E19*Appropriate_Crash_Reduction_Factor</f>
        <v>8.7228228941768991E-3</v>
      </c>
      <c r="F29" s="161">
        <f>F$26*'Value of Statistical Life'!F19*Appropriate_Crash_Reduction_Factor</f>
        <v>2.5652149423402812E-2</v>
      </c>
      <c r="G29" s="161">
        <f>G$26*'Value of Statistical Life'!G19*Appropriate_Crash_Reduction_Factor</f>
        <v>3.7554881433534776E-2</v>
      </c>
      <c r="H29" s="161">
        <f>H$26*'Value of Statistical Life'!H19*Appropriate_Crash_Reduction_Factor</f>
        <v>9.0216756560330125E-3</v>
      </c>
      <c r="I29" s="161">
        <f>I$26*'Value of Statistical Life'!I19*Appropriate_Crash_Reduction_Factor</f>
        <v>3.5077089725977659E-2</v>
      </c>
      <c r="J29" s="161">
        <f t="shared" si="9"/>
        <v>0.11602861913312516</v>
      </c>
      <c r="K29" s="162"/>
      <c r="L29" s="134"/>
      <c r="M29" s="142">
        <f t="shared" si="1"/>
        <v>2043</v>
      </c>
      <c r="N29" s="143">
        <f t="shared" si="6"/>
        <v>14675.002539705234</v>
      </c>
      <c r="O29" s="144">
        <f t="shared" si="7"/>
        <v>1.4592279124085117E-2</v>
      </c>
      <c r="P29" s="145">
        <f t="shared" si="8"/>
        <v>1.2603330315772285</v>
      </c>
      <c r="Q29" s="146">
        <f t="shared" si="4"/>
        <v>0</v>
      </c>
      <c r="R29" s="37">
        <f>IF(M29=Year_Open_to_Traffic?,Calculations!$J$5,Calculations!R28+(Calculations!R28*Calculations!O29*Q29))</f>
        <v>252047.60749758029</v>
      </c>
      <c r="S29" s="54">
        <f t="shared" si="0"/>
        <v>1</v>
      </c>
      <c r="T29" s="37">
        <f t="shared" si="5"/>
        <v>252.04760749758029</v>
      </c>
      <c r="U29" s="140">
        <f>T29/(1+Real_Discount_Rate)^(Calculations!M29-'Assumed Values'!$C$5)</f>
        <v>46.439564377877431</v>
      </c>
    </row>
    <row r="30" spans="1:21" ht="15.75" x14ac:dyDescent="0.25">
      <c r="A30" s="159" t="s">
        <v>65</v>
      </c>
      <c r="B30" s="163" t="s">
        <v>66</v>
      </c>
      <c r="D30" s="161">
        <f>D$26*'Value of Statistical Life'!D20*Appropriate_Crash_Reduction_Factor</f>
        <v>0</v>
      </c>
      <c r="E30" s="161">
        <f>E$26*'Value of Statistical Life'!E20*Appropriate_Crash_Reduction_Factor</f>
        <v>6.0231200556357329E-3</v>
      </c>
      <c r="F30" s="161">
        <f>F$26*'Value of Statistical Life'!F20*Appropriate_Crash_Reduction_Factor</f>
        <v>7.5111037630829864E-3</v>
      </c>
      <c r="G30" s="161">
        <f>G$26*'Value of Statistical Life'!G20*Appropriate_Crash_Reduction_Factor</f>
        <v>6.2934248185441645E-3</v>
      </c>
      <c r="H30" s="161">
        <f>H$26*'Value of Statistical Life'!H20*Appropriate_Crash_Reduction_Factor</f>
        <v>3.6451214771850555E-4</v>
      </c>
      <c r="I30" s="161">
        <f>I$26*'Value of Statistical Life'!I20*Appropriate_Crash_Reduction_Factor</f>
        <v>1.9044898693646801E-2</v>
      </c>
      <c r="J30" s="161">
        <f t="shared" si="9"/>
        <v>3.923705947862819E-2</v>
      </c>
      <c r="K30" s="162"/>
      <c r="L30" s="134"/>
      <c r="M30" s="142">
        <f t="shared" si="1"/>
        <v>2044</v>
      </c>
      <c r="N30" s="143">
        <f t="shared" si="6"/>
        <v>14889.144272911271</v>
      </c>
      <c r="O30" s="144">
        <f t="shared" si="7"/>
        <v>1.4592279124085117E-2</v>
      </c>
      <c r="P30" s="145">
        <f t="shared" si="8"/>
        <v>1.2787241629633079</v>
      </c>
      <c r="Q30" s="146">
        <f t="shared" si="4"/>
        <v>0</v>
      </c>
      <c r="R30" s="37">
        <f>IF(M30=Year_Open_to_Traffic?,Calculations!$J$5,Calculations!R29+(Calculations!R29*Calculations!O30*Q30))</f>
        <v>252047.60749758029</v>
      </c>
      <c r="S30" s="54">
        <f t="shared" si="0"/>
        <v>1</v>
      </c>
      <c r="T30" s="37">
        <f t="shared" si="5"/>
        <v>252.04760749758029</v>
      </c>
      <c r="U30" s="140">
        <f>T30/(1+Real_Discount_Rate)^(Calculations!M30-'Assumed Values'!$C$5)</f>
        <v>43.401462035399476</v>
      </c>
    </row>
    <row r="31" spans="1:21" ht="15.75" x14ac:dyDescent="0.25">
      <c r="A31" s="159" t="s">
        <v>67</v>
      </c>
      <c r="B31" s="163" t="s">
        <v>68</v>
      </c>
      <c r="D31" s="161">
        <f>D$26*'Value of Statistical Life'!D21*Appropriate_Crash_Reduction_Factor</f>
        <v>0</v>
      </c>
      <c r="E31" s="161">
        <f>E$26*'Value of Statistical Life'!E21*Appropriate_Crash_Reduction_Factor</f>
        <v>1.6629602093069221E-3</v>
      </c>
      <c r="F31" s="161">
        <f>F$26*'Value of Statistical Life'!F21*Appropriate_Crash_Reduction_Factor</f>
        <v>1.45938086277388E-3</v>
      </c>
      <c r="G31" s="161">
        <f>G$26*'Value of Statistical Life'!G21*Appropriate_Crash_Reduction_Factor</f>
        <v>8.344223382196743E-4</v>
      </c>
      <c r="H31" s="161">
        <f>H$26*'Value of Statistical Life'!H21*Appropriate_Crash_Reduction_Factor</f>
        <v>0</v>
      </c>
      <c r="I31" s="161">
        <f>I$26*'Value of Statistical Life'!I21*Appropriate_Crash_Reduction_Factor</f>
        <v>2.4394233950550295E-3</v>
      </c>
      <c r="J31" s="161">
        <f t="shared" si="9"/>
        <v>6.3961868053555061E-3</v>
      </c>
      <c r="K31" s="162"/>
      <c r="L31" s="134"/>
      <c r="M31" s="142">
        <f t="shared" si="1"/>
        <v>2045</v>
      </c>
      <c r="N31" s="143">
        <f t="shared" si="6"/>
        <v>15106.410822060367</v>
      </c>
      <c r="O31" s="144">
        <f t="shared" si="7"/>
        <v>1.4592279124085117E-2</v>
      </c>
      <c r="P31" s="145">
        <f t="shared" si="8"/>
        <v>1.2973836628719806</v>
      </c>
      <c r="Q31" s="146">
        <f t="shared" si="4"/>
        <v>0</v>
      </c>
      <c r="R31" s="37">
        <f>IF(M31=Year_Open_to_Traffic?,Calculations!$J$5,Calculations!R30+(Calculations!R30*Calculations!O31*Q31))</f>
        <v>252047.60749758029</v>
      </c>
      <c r="S31" s="54">
        <f t="shared" si="0"/>
        <v>1</v>
      </c>
      <c r="T31" s="37">
        <f t="shared" si="5"/>
        <v>252.04760749758029</v>
      </c>
      <c r="U31" s="140">
        <f>T31/(1+Real_Discount_Rate)^(Calculations!M31-'Assumed Values'!$C$5)</f>
        <v>40.562114051775204</v>
      </c>
    </row>
    <row r="32" spans="1:21" ht="15.75" x14ac:dyDescent="0.25">
      <c r="A32" s="159" t="s">
        <v>69</v>
      </c>
      <c r="B32" s="163" t="s">
        <v>70</v>
      </c>
      <c r="D32" s="161">
        <f>D$26*'Value of Statistical Life'!D22*Appropriate_Crash_Reduction_Factor</f>
        <v>0</v>
      </c>
      <c r="E32" s="161">
        <f>E$26*'Value of Statistical Life'!E22*Appropriate_Crash_Reduction_Factor</f>
        <v>7.4386805147873606E-4</v>
      </c>
      <c r="F32" s="161">
        <f>F$26*'Value of Statistical Life'!F22*Appropriate_Crash_Reduction_Factor</f>
        <v>2.3773785022606757E-4</v>
      </c>
      <c r="G32" s="161">
        <f>G$26*'Value of Statistical Life'!G22*Appropriate_Crash_Reduction_Factor</f>
        <v>7.6390777442646236E-5</v>
      </c>
      <c r="H32" s="161">
        <f>H$26*'Value of Statistical Life'!H22*Appropriate_Crash_Reduction_Factor</f>
        <v>1.3669205539443958E-4</v>
      </c>
      <c r="I32" s="161">
        <f>I$26*'Value of Statistical Life'!I22*Appropriate_Crash_Reduction_Factor</f>
        <v>1.103078001977882E-3</v>
      </c>
      <c r="J32" s="161">
        <f t="shared" si="9"/>
        <v>2.2977667365197715E-3</v>
      </c>
      <c r="K32" s="162"/>
      <c r="L32" s="134"/>
      <c r="M32" s="142">
        <f t="shared" si="1"/>
        <v>2046</v>
      </c>
      <c r="N32" s="143">
        <f t="shared" si="6"/>
        <v>15326.847785338972</v>
      </c>
      <c r="O32" s="144">
        <f t="shared" si="7"/>
        <v>1.4592279124085117E-2</v>
      </c>
      <c r="P32" s="145">
        <f t="shared" si="8"/>
        <v>1.3163154474116365</v>
      </c>
      <c r="Q32" s="146">
        <f t="shared" si="4"/>
        <v>0</v>
      </c>
      <c r="R32" s="37">
        <f>IF(M32=Year_Open_to_Traffic?,Calculations!$J$5,Calculations!R31+(Calculations!R31*Calculations!O32*Q32))</f>
        <v>252047.60749758029</v>
      </c>
      <c r="S32" s="54">
        <f t="shared" si="0"/>
        <v>1</v>
      </c>
      <c r="T32" s="37">
        <f t="shared" si="5"/>
        <v>252.04760749758029</v>
      </c>
      <c r="U32" s="140">
        <f>T32/(1+Real_Discount_Rate)^(Calculations!M32-'Assumed Values'!$C$5)</f>
        <v>37.908517805397395</v>
      </c>
    </row>
    <row r="33" spans="1:21" ht="15.75" x14ac:dyDescent="0.25">
      <c r="A33" s="159" t="s">
        <v>71</v>
      </c>
      <c r="B33" s="163" t="s">
        <v>272</v>
      </c>
      <c r="D33" s="161">
        <f>D$26*'Value of Statistical Life'!D23*Appropriate_Crash_Reduction_Factor</f>
        <v>8.2534829927263902E-3</v>
      </c>
      <c r="E33" s="161">
        <f>E$26*'Value of Statistical Life'!E23*Appropriate_Crash_Reduction_Factor</f>
        <v>0</v>
      </c>
      <c r="F33" s="161">
        <f>F$26*'Value of Statistical Life'!F23*Appropriate_Crash_Reduction_Factor</f>
        <v>0</v>
      </c>
      <c r="G33" s="161">
        <f>G$26*'Value of Statistical Life'!G23*Appropriate_Crash_Reduction_Factor</f>
        <v>0</v>
      </c>
      <c r="H33" s="161">
        <f>H$26*'Value of Statistical Life'!H23*Appropriate_Crash_Reduction_Factor</f>
        <v>0</v>
      </c>
      <c r="I33" s="161">
        <f>I$26*'Value of Statistical Life'!I23*Appropriate_Crash_Reduction_Factor</f>
        <v>0</v>
      </c>
      <c r="J33" s="161">
        <f t="shared" si="9"/>
        <v>8.2534829927263902E-3</v>
      </c>
      <c r="K33" s="162"/>
      <c r="L33" s="134"/>
      <c r="M33" s="142">
        <f t="shared" si="1"/>
        <v>2047</v>
      </c>
      <c r="N33" s="143">
        <f t="shared" si="6"/>
        <v>15550.501426315004</v>
      </c>
      <c r="O33" s="144">
        <f t="shared" si="7"/>
        <v>1.4592279124085117E-2</v>
      </c>
      <c r="P33" s="145">
        <f t="shared" si="8"/>
        <v>1.3355234898356121</v>
      </c>
      <c r="Q33" s="146">
        <f t="shared" si="4"/>
        <v>0</v>
      </c>
      <c r="R33" s="37">
        <f>IF(M33=Year_Open_to_Traffic?,Calculations!$J$5,Calculations!R32+(Calculations!R32*Calculations!O33*Q33))</f>
        <v>252047.60749758029</v>
      </c>
      <c r="S33" s="54">
        <f t="shared" si="0"/>
        <v>1</v>
      </c>
      <c r="T33" s="37">
        <f t="shared" si="5"/>
        <v>252.04760749758029</v>
      </c>
      <c r="U33" s="140">
        <f>T33/(1+Real_Discount_Rate)^(Calculations!M33-'Assumed Values'!$C$5)</f>
        <v>35.428521313455505</v>
      </c>
    </row>
    <row r="34" spans="1:21" ht="15.75" x14ac:dyDescent="0.25">
      <c r="J34" s="164"/>
      <c r="L34" s="134"/>
      <c r="M34" s="142">
        <f t="shared" si="1"/>
        <v>2048</v>
      </c>
      <c r="N34" s="143">
        <f t="shared" si="6"/>
        <v>15777.418683647276</v>
      </c>
      <c r="O34" s="144">
        <f t="shared" si="7"/>
        <v>1.4592279124085117E-2</v>
      </c>
      <c r="P34" s="145">
        <f t="shared" si="8"/>
        <v>1.3550118213760656</v>
      </c>
      <c r="Q34" s="146">
        <f t="shared" si="4"/>
        <v>0</v>
      </c>
      <c r="R34" s="37">
        <f>IF(M34=Year_Open_to_Traffic?,Calculations!$J$5,Calculations!R33+(Calculations!R33*Calculations!O34*Q34))</f>
        <v>252047.60749758029</v>
      </c>
      <c r="S34" s="54">
        <f t="shared" si="0"/>
        <v>0</v>
      </c>
      <c r="T34" s="37">
        <f t="shared" si="5"/>
        <v>0</v>
      </c>
      <c r="U34" s="140">
        <f>T34/(1+Real_Discount_Rate)^(Calculations!M34-'Assumed Values'!$C$5)</f>
        <v>0</v>
      </c>
    </row>
    <row r="35" spans="1:21" ht="15.75" x14ac:dyDescent="0.25">
      <c r="G35" s="165"/>
      <c r="H35" s="165"/>
      <c r="L35" s="134"/>
      <c r="M35" s="142">
        <f t="shared" si="1"/>
        <v>2049</v>
      </c>
      <c r="N35" s="143">
        <f t="shared" si="6"/>
        <v>16007.647180936612</v>
      </c>
      <c r="O35" s="144">
        <f t="shared" si="7"/>
        <v>1.4592279124085117E-2</v>
      </c>
      <c r="P35" s="145">
        <f t="shared" si="8"/>
        <v>1.3747845320900201</v>
      </c>
      <c r="Q35" s="146">
        <f t="shared" si="4"/>
        <v>0</v>
      </c>
      <c r="R35" s="37">
        <f>IF(M35=Year_Open_to_Traffic?,Calculations!$J$5,Calculations!R34+(Calculations!R34*Calculations!O35*Q35))</f>
        <v>252047.60749758029</v>
      </c>
      <c r="S35" s="54">
        <f t="shared" si="0"/>
        <v>0</v>
      </c>
      <c r="T35" s="37">
        <f t="shared" si="5"/>
        <v>0</v>
      </c>
      <c r="U35" s="140">
        <f>T35/(1+Real_Discount_Rate)^(Calculations!M35-'Assumed Values'!$C$5)</f>
        <v>0</v>
      </c>
    </row>
    <row r="36" spans="1:21" ht="15.75" x14ac:dyDescent="0.25">
      <c r="G36" s="165"/>
      <c r="H36" s="165"/>
      <c r="L36" s="134"/>
      <c r="M36" s="142">
        <f t="shared" si="1"/>
        <v>2050</v>
      </c>
      <c r="N36" s="143">
        <f t="shared" si="6"/>
        <v>16241.235236720713</v>
      </c>
      <c r="O36" s="144">
        <f t="shared" si="7"/>
        <v>1.4592279124085117E-2</v>
      </c>
      <c r="P36" s="145">
        <f t="shared" si="8"/>
        <v>1.3948457717177525</v>
      </c>
      <c r="Q36" s="146">
        <f t="shared" si="4"/>
        <v>0</v>
      </c>
      <c r="R36" s="37">
        <f>IF(M36=Year_Open_to_Traffic?,Calculations!$J$5,Calculations!R35+(Calculations!R35*Calculations!O36*Q36))</f>
        <v>252047.60749758029</v>
      </c>
      <c r="S36" s="54">
        <f t="shared" si="0"/>
        <v>0</v>
      </c>
      <c r="T36" s="37">
        <f t="shared" si="5"/>
        <v>0</v>
      </c>
      <c r="U36" s="140">
        <f>T36/(1+Real_Discount_Rate)^(Calculations!M36-'Assumed Values'!$C$5)</f>
        <v>0</v>
      </c>
    </row>
    <row r="37" spans="1:21" x14ac:dyDescent="0.25">
      <c r="M37" s="163"/>
      <c r="N37" s="163"/>
      <c r="O37" s="166"/>
      <c r="P37" s="167"/>
      <c r="Q37" s="168"/>
      <c r="R37" s="163"/>
      <c r="S37" s="163"/>
      <c r="T37" s="163"/>
      <c r="U37" s="140">
        <f>SUM(U4:U36)</f>
        <v>1452.4096734583384</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7"/>
      <c r="C7" s="88"/>
    </row>
    <row r="8" spans="2:3" x14ac:dyDescent="0.25">
      <c r="B8" s="87"/>
      <c r="C8" s="89"/>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6" t="s">
        <v>73</v>
      </c>
      <c r="C12" s="187"/>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5"/>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1" t="s">
        <v>273</v>
      </c>
      <c r="M2" s="71"/>
      <c r="N2" s="71"/>
      <c r="O2" s="71"/>
      <c r="P2" s="71"/>
      <c r="Q2" s="102"/>
      <c r="R2" s="103"/>
      <c r="S2" s="103"/>
      <c r="T2" s="103"/>
      <c r="U2" s="103"/>
      <c r="V2" s="103"/>
      <c r="W2" s="103"/>
      <c r="X2" s="103"/>
      <c r="Y2" s="26"/>
    </row>
    <row r="3" spans="3:25" x14ac:dyDescent="0.25">
      <c r="C3" t="s">
        <v>120</v>
      </c>
      <c r="D3" t="s">
        <v>127</v>
      </c>
      <c r="G3" s="47" t="s">
        <v>130</v>
      </c>
      <c r="H3" s="171" t="s">
        <v>274</v>
      </c>
      <c r="M3" s="71"/>
      <c r="N3" s="71"/>
      <c r="O3" s="71"/>
      <c r="P3" s="71"/>
      <c r="Q3" s="102"/>
      <c r="R3" s="103"/>
      <c r="S3" s="103"/>
      <c r="T3" s="103"/>
      <c r="U3" s="103"/>
      <c r="V3" s="103"/>
      <c r="W3" s="103"/>
      <c r="X3" s="103"/>
      <c r="Y3" s="26"/>
    </row>
    <row r="4" spans="3:25" x14ac:dyDescent="0.25">
      <c r="C4" t="s">
        <v>122</v>
      </c>
      <c r="D4" t="s">
        <v>128</v>
      </c>
      <c r="G4" s="47" t="s">
        <v>131</v>
      </c>
      <c r="H4" s="171" t="s">
        <v>275</v>
      </c>
      <c r="M4" s="71"/>
      <c r="N4" s="71"/>
      <c r="O4" s="71"/>
      <c r="P4" s="71"/>
      <c r="Q4" s="102"/>
      <c r="R4" s="103"/>
      <c r="S4" s="103"/>
      <c r="T4" s="103"/>
      <c r="U4" s="103"/>
      <c r="V4" s="103"/>
      <c r="W4" s="103"/>
      <c r="X4" s="103"/>
      <c r="Y4" s="26"/>
    </row>
    <row r="5" spans="3:25" x14ac:dyDescent="0.25">
      <c r="C5" t="s">
        <v>119</v>
      </c>
      <c r="G5" s="47" t="s">
        <v>132</v>
      </c>
      <c r="H5" s="171" t="s">
        <v>276</v>
      </c>
      <c r="M5" s="71"/>
      <c r="N5" s="71"/>
      <c r="O5" s="71"/>
      <c r="P5" s="71"/>
      <c r="Q5" s="102"/>
      <c r="R5" s="103"/>
      <c r="S5" s="103"/>
      <c r="T5" s="103"/>
      <c r="U5" s="103"/>
      <c r="V5" s="103"/>
      <c r="W5" s="103"/>
      <c r="X5" s="103"/>
      <c r="Y5" s="26"/>
    </row>
    <row r="6" spans="3:25" x14ac:dyDescent="0.25">
      <c r="C6" t="s">
        <v>121</v>
      </c>
      <c r="G6" s="47" t="s">
        <v>133</v>
      </c>
      <c r="H6" s="171" t="s">
        <v>277</v>
      </c>
      <c r="M6" s="71"/>
      <c r="N6" s="71"/>
      <c r="O6" s="71"/>
      <c r="P6" s="71"/>
      <c r="Q6" s="102"/>
      <c r="R6" s="103"/>
      <c r="S6" s="103"/>
      <c r="T6" s="103"/>
      <c r="U6" s="103"/>
      <c r="V6" s="103"/>
      <c r="W6" s="103"/>
      <c r="X6" s="103"/>
      <c r="Y6" s="26"/>
    </row>
    <row r="7" spans="3:25" x14ac:dyDescent="0.25">
      <c r="C7" t="s">
        <v>118</v>
      </c>
      <c r="G7" s="47" t="s">
        <v>134</v>
      </c>
      <c r="H7" s="171" t="s">
        <v>278</v>
      </c>
      <c r="M7" s="71"/>
      <c r="N7" s="71"/>
      <c r="O7" s="71"/>
      <c r="P7" s="71"/>
      <c r="Q7" s="102"/>
      <c r="R7" s="103"/>
      <c r="S7" s="103"/>
      <c r="T7" s="103"/>
      <c r="U7" s="103"/>
      <c r="V7" s="103"/>
      <c r="W7" s="103"/>
      <c r="X7" s="103"/>
      <c r="Y7" s="26"/>
    </row>
    <row r="8" spans="3:25" x14ac:dyDescent="0.25">
      <c r="C8" t="s">
        <v>123</v>
      </c>
      <c r="M8" s="71"/>
      <c r="N8" s="71"/>
      <c r="O8" s="71"/>
      <c r="P8" s="71"/>
      <c r="Q8" s="102"/>
      <c r="R8" s="103"/>
      <c r="S8" s="103"/>
      <c r="T8" s="103"/>
      <c r="U8" s="103"/>
      <c r="V8" s="103"/>
      <c r="W8" s="103"/>
      <c r="X8" s="103"/>
      <c r="Y8" s="26"/>
    </row>
    <row r="9" spans="3:25" x14ac:dyDescent="0.25">
      <c r="C9" t="s">
        <v>124</v>
      </c>
      <c r="M9" s="71"/>
      <c r="N9" s="71"/>
      <c r="O9" s="71"/>
      <c r="P9" s="71"/>
      <c r="Q9" s="102"/>
      <c r="R9" s="103"/>
      <c r="S9" s="103"/>
      <c r="T9" s="103"/>
      <c r="U9" s="103"/>
      <c r="V9" s="103"/>
      <c r="W9" s="103"/>
      <c r="X9" s="103"/>
      <c r="Y9" s="26"/>
    </row>
    <row r="10" spans="3:25" x14ac:dyDescent="0.25">
      <c r="C10" t="s">
        <v>125</v>
      </c>
      <c r="M10" s="91"/>
      <c r="N10" s="101"/>
      <c r="O10" s="101"/>
      <c r="P10" s="101"/>
      <c r="Q10" s="101"/>
      <c r="R10" s="101"/>
      <c r="S10" s="101"/>
      <c r="T10" s="101"/>
      <c r="U10" s="91"/>
    </row>
    <row r="12" spans="3:25" x14ac:dyDescent="0.25">
      <c r="C12" t="s">
        <v>153</v>
      </c>
      <c r="Q12" t="s">
        <v>161</v>
      </c>
      <c r="S12" s="188"/>
      <c r="T12" s="188"/>
      <c r="U12" s="188"/>
      <c r="V12" s="188"/>
      <c r="W12" s="188"/>
      <c r="X12" s="188"/>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0">
        <v>2618324.17</v>
      </c>
      <c r="O14" s="100">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0">
        <v>2686327.44</v>
      </c>
      <c r="O15" s="100">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0">
        <v>3738995.92</v>
      </c>
      <c r="O16" s="100">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0">
        <v>2141923.42</v>
      </c>
      <c r="O17" s="100">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0">
        <v>61905697.659999996</v>
      </c>
      <c r="O18" s="100">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0">
        <v>453352.42</v>
      </c>
      <c r="O19" s="100">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0">
        <v>6586746.6100000003</v>
      </c>
      <c r="O20" s="100">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0">
        <v>1086148.24</v>
      </c>
      <c r="O21" s="100">
        <f t="shared" si="0"/>
        <v>282398542.39999998</v>
      </c>
      <c r="Q21" s="75" t="s">
        <v>125</v>
      </c>
      <c r="R21" s="76"/>
      <c r="S21" s="47">
        <v>4</v>
      </c>
      <c r="T21" s="47">
        <v>4</v>
      </c>
      <c r="U21" s="47">
        <v>9</v>
      </c>
      <c r="V21" s="47">
        <v>9</v>
      </c>
      <c r="W21" s="47">
        <v>47</v>
      </c>
      <c r="X21" s="47">
        <v>0</v>
      </c>
    </row>
    <row r="22" spans="3:24" x14ac:dyDescent="0.25">
      <c r="C22" s="71"/>
      <c r="D22" s="99"/>
      <c r="E22" s="99"/>
      <c r="F22" s="99"/>
      <c r="G22" s="99"/>
      <c r="H22" s="99"/>
      <c r="I22" s="99"/>
      <c r="J22" s="99"/>
      <c r="M22" s="47"/>
      <c r="N22" s="100">
        <f>SUM(N14:N21)</f>
        <v>81217515.879999995</v>
      </c>
      <c r="O22" s="100">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8"/>
      <c r="T26" s="188"/>
      <c r="U26" s="188"/>
      <c r="V26" s="188"/>
      <c r="W26" s="188"/>
      <c r="X26" s="188"/>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0">
        <v>6349097.3499999996</v>
      </c>
      <c r="O28" s="100">
        <f>N28*260</f>
        <v>1650765311</v>
      </c>
      <c r="Q28" s="75" t="s">
        <v>120</v>
      </c>
      <c r="R28" s="76"/>
      <c r="S28" s="47">
        <v>39</v>
      </c>
      <c r="T28" s="47">
        <v>139</v>
      </c>
      <c r="U28" s="47">
        <v>682</v>
      </c>
      <c r="V28" s="47">
        <v>1075</v>
      </c>
      <c r="W28" s="100">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0">
        <v>933781.03</v>
      </c>
      <c r="O29" s="100">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0">
        <v>11227441.77</v>
      </c>
      <c r="O30" s="100">
        <f t="shared" si="2"/>
        <v>2919134860.1999998</v>
      </c>
      <c r="Q30" s="75" t="s">
        <v>119</v>
      </c>
      <c r="R30" s="76"/>
      <c r="S30" s="47">
        <v>29</v>
      </c>
      <c r="T30" s="47">
        <v>162</v>
      </c>
      <c r="U30" s="47">
        <v>981</v>
      </c>
      <c r="V30" s="100">
        <v>1846</v>
      </c>
      <c r="W30" s="100">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0">
        <v>4518307.46</v>
      </c>
      <c r="O31" s="100">
        <f t="shared" si="2"/>
        <v>1174759939.5999999</v>
      </c>
      <c r="Q31" s="75" t="s">
        <v>121</v>
      </c>
      <c r="R31" s="76"/>
      <c r="S31" s="47">
        <v>34</v>
      </c>
      <c r="T31" s="47">
        <v>165</v>
      </c>
      <c r="U31" s="47">
        <v>603</v>
      </c>
      <c r="V31" s="100">
        <v>1209</v>
      </c>
      <c r="W31" s="100">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0">
        <v>68304614.209999993</v>
      </c>
      <c r="O32" s="100">
        <f t="shared" si="2"/>
        <v>17759199694.599998</v>
      </c>
      <c r="Q32" s="75" t="s">
        <v>118</v>
      </c>
      <c r="R32" s="76"/>
      <c r="S32" s="47">
        <v>310</v>
      </c>
      <c r="T32" s="100">
        <v>1567</v>
      </c>
      <c r="U32" s="100">
        <v>8841</v>
      </c>
      <c r="V32" s="100">
        <v>22071</v>
      </c>
      <c r="W32" s="100">
        <v>171138</v>
      </c>
      <c r="X32" s="100">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0">
        <v>2461276.84</v>
      </c>
      <c r="O33" s="100">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0">
        <v>10802724.890000001</v>
      </c>
      <c r="O34" s="100">
        <f t="shared" si="2"/>
        <v>2808708471.4000001</v>
      </c>
      <c r="Q34" s="75" t="s">
        <v>124</v>
      </c>
      <c r="R34" s="76"/>
      <c r="S34" s="47">
        <v>47</v>
      </c>
      <c r="T34" s="47">
        <v>294</v>
      </c>
      <c r="U34" s="100">
        <v>1162</v>
      </c>
      <c r="V34" s="100">
        <v>1772</v>
      </c>
      <c r="W34" s="100">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0">
        <v>1071767.3799999999</v>
      </c>
      <c r="O35" s="100">
        <f t="shared" si="2"/>
        <v>278659518.79999995</v>
      </c>
      <c r="Q35" s="75" t="s">
        <v>125</v>
      </c>
      <c r="R35" s="76"/>
      <c r="S35" s="47">
        <v>20</v>
      </c>
      <c r="T35" s="47">
        <v>31</v>
      </c>
      <c r="U35" s="47">
        <v>105</v>
      </c>
      <c r="V35" s="47">
        <v>162</v>
      </c>
      <c r="W35" s="47">
        <v>1267</v>
      </c>
      <c r="X35" s="47">
        <v>74</v>
      </c>
    </row>
    <row r="36" spans="3:24" x14ac:dyDescent="0.25">
      <c r="C36" s="71"/>
      <c r="D36" s="99"/>
      <c r="E36" s="99"/>
      <c r="F36" s="99"/>
      <c r="G36" s="99"/>
      <c r="H36" s="99"/>
      <c r="I36" s="99"/>
      <c r="J36" s="99"/>
      <c r="M36" s="47"/>
      <c r="N36" s="100">
        <f>SUM(N28:N35)</f>
        <v>105669010.92999999</v>
      </c>
      <c r="O36" s="100">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1"/>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9" t="s">
        <v>97</v>
      </c>
      <c r="C24" s="189"/>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6"/>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09">
        <v>101</v>
      </c>
      <c r="E4" s="110">
        <v>0.2</v>
      </c>
      <c r="F4" s="111">
        <v>6</v>
      </c>
    </row>
    <row r="5" spans="2:6" x14ac:dyDescent="0.25">
      <c r="C5" s="84" t="s">
        <v>229</v>
      </c>
      <c r="D5" s="109">
        <v>102</v>
      </c>
      <c r="E5" s="110">
        <v>0.2</v>
      </c>
      <c r="F5" s="111">
        <v>6</v>
      </c>
    </row>
    <row r="6" spans="2:6" x14ac:dyDescent="0.25">
      <c r="C6" s="83" t="s">
        <v>218</v>
      </c>
      <c r="D6" s="109">
        <v>105</v>
      </c>
      <c r="E6" s="112">
        <v>0.25</v>
      </c>
      <c r="F6" s="111">
        <v>10</v>
      </c>
    </row>
    <row r="7" spans="2:6" x14ac:dyDescent="0.25">
      <c r="C7" s="83" t="s">
        <v>238</v>
      </c>
      <c r="D7" s="109">
        <v>106</v>
      </c>
      <c r="E7" s="110">
        <v>0.1</v>
      </c>
      <c r="F7" s="111">
        <v>10</v>
      </c>
    </row>
    <row r="8" spans="2:6" x14ac:dyDescent="0.25">
      <c r="C8" s="83" t="s">
        <v>230</v>
      </c>
      <c r="D8" s="109">
        <v>107</v>
      </c>
      <c r="E8" s="110">
        <v>0.28000000000000003</v>
      </c>
      <c r="F8" s="111">
        <v>10</v>
      </c>
    </row>
    <row r="9" spans="2:6" x14ac:dyDescent="0.25">
      <c r="C9" s="83" t="s">
        <v>195</v>
      </c>
      <c r="D9" s="109">
        <v>108</v>
      </c>
      <c r="E9" s="110">
        <v>0.22</v>
      </c>
      <c r="F9" s="111">
        <v>10</v>
      </c>
    </row>
    <row r="10" spans="2:6" x14ac:dyDescent="0.25">
      <c r="C10" s="83" t="s">
        <v>224</v>
      </c>
      <c r="D10" s="109">
        <v>110</v>
      </c>
      <c r="E10" s="110">
        <v>0.15</v>
      </c>
      <c r="F10" s="111">
        <v>10</v>
      </c>
    </row>
    <row r="11" spans="2:6" x14ac:dyDescent="0.25">
      <c r="C11" s="83" t="s">
        <v>233</v>
      </c>
      <c r="D11" s="109">
        <v>111</v>
      </c>
      <c r="E11" s="110">
        <v>0.1</v>
      </c>
      <c r="F11" s="111">
        <v>10</v>
      </c>
    </row>
    <row r="12" spans="2:6" x14ac:dyDescent="0.25">
      <c r="C12" s="84" t="s">
        <v>280</v>
      </c>
      <c r="D12" s="109">
        <v>112</v>
      </c>
      <c r="E12" s="110">
        <v>0.65</v>
      </c>
      <c r="F12" s="111">
        <v>1</v>
      </c>
    </row>
    <row r="13" spans="2:6" x14ac:dyDescent="0.25">
      <c r="C13" s="83" t="s">
        <v>214</v>
      </c>
      <c r="D13" s="109">
        <v>113</v>
      </c>
      <c r="E13" s="112">
        <v>0.3</v>
      </c>
      <c r="F13" s="111">
        <v>2</v>
      </c>
    </row>
    <row r="14" spans="2:6" x14ac:dyDescent="0.25">
      <c r="C14" s="83" t="s">
        <v>227</v>
      </c>
      <c r="D14" s="109">
        <v>114</v>
      </c>
      <c r="E14" s="110">
        <v>0.2</v>
      </c>
      <c r="F14" s="111">
        <v>5</v>
      </c>
    </row>
    <row r="15" spans="2:6" x14ac:dyDescent="0.25">
      <c r="C15" s="83" t="s">
        <v>239</v>
      </c>
      <c r="D15" s="109">
        <v>118</v>
      </c>
      <c r="E15" s="110">
        <v>0.25</v>
      </c>
      <c r="F15" s="111">
        <v>10</v>
      </c>
    </row>
    <row r="16" spans="2:6" x14ac:dyDescent="0.25">
      <c r="C16" s="84" t="s">
        <v>220</v>
      </c>
      <c r="D16" s="109">
        <v>119</v>
      </c>
      <c r="E16" s="110">
        <v>0.2</v>
      </c>
      <c r="F16" s="111">
        <v>6</v>
      </c>
    </row>
    <row r="17" spans="3:6" x14ac:dyDescent="0.25">
      <c r="C17" s="83" t="s">
        <v>186</v>
      </c>
      <c r="D17" s="109">
        <v>121</v>
      </c>
      <c r="E17" s="112">
        <v>0.15</v>
      </c>
      <c r="F17" s="111">
        <v>6</v>
      </c>
    </row>
    <row r="18" spans="3:6" ht="30" x14ac:dyDescent="0.25">
      <c r="C18" s="84" t="s">
        <v>203</v>
      </c>
      <c r="D18" s="109">
        <v>122</v>
      </c>
      <c r="E18" s="110">
        <v>0.1</v>
      </c>
      <c r="F18" s="111">
        <v>10</v>
      </c>
    </row>
    <row r="19" spans="3:6" x14ac:dyDescent="0.25">
      <c r="C19" s="84" t="s">
        <v>202</v>
      </c>
      <c r="D19" s="109">
        <v>123</v>
      </c>
      <c r="E19" s="110">
        <v>0.1</v>
      </c>
      <c r="F19" s="111">
        <v>10</v>
      </c>
    </row>
    <row r="20" spans="3:6" ht="30" x14ac:dyDescent="0.25">
      <c r="C20" s="84" t="s">
        <v>207</v>
      </c>
      <c r="D20" s="109">
        <v>124</v>
      </c>
      <c r="E20" s="110">
        <v>0.15</v>
      </c>
      <c r="F20" s="111">
        <v>10</v>
      </c>
    </row>
    <row r="21" spans="3:6" x14ac:dyDescent="0.25">
      <c r="C21" s="83" t="s">
        <v>206</v>
      </c>
      <c r="D21" s="109">
        <v>125</v>
      </c>
      <c r="E21" s="112">
        <v>0.15</v>
      </c>
      <c r="F21" s="111">
        <v>10</v>
      </c>
    </row>
    <row r="22" spans="3:6" ht="30" x14ac:dyDescent="0.25">
      <c r="C22" s="84" t="s">
        <v>208</v>
      </c>
      <c r="D22" s="109">
        <v>126</v>
      </c>
      <c r="E22" s="110">
        <v>0.2</v>
      </c>
      <c r="F22" s="111">
        <v>10</v>
      </c>
    </row>
    <row r="23" spans="3:6" ht="30" x14ac:dyDescent="0.25">
      <c r="C23" s="84" t="s">
        <v>204</v>
      </c>
      <c r="D23" s="109">
        <v>127</v>
      </c>
      <c r="E23" s="113">
        <v>0.1</v>
      </c>
      <c r="F23" s="111">
        <v>10</v>
      </c>
    </row>
    <row r="24" spans="3:6" ht="30" x14ac:dyDescent="0.25">
      <c r="C24" s="84" t="s">
        <v>210</v>
      </c>
      <c r="D24" s="109">
        <v>128</v>
      </c>
      <c r="E24" s="113">
        <v>0.05</v>
      </c>
      <c r="F24" s="111">
        <v>6</v>
      </c>
    </row>
    <row r="25" spans="3:6" ht="30" x14ac:dyDescent="0.25">
      <c r="C25" s="84" t="s">
        <v>201</v>
      </c>
      <c r="D25" s="109">
        <v>129</v>
      </c>
      <c r="E25" s="113">
        <v>0.1</v>
      </c>
      <c r="F25" s="111">
        <v>10</v>
      </c>
    </row>
    <row r="26" spans="3:6" x14ac:dyDescent="0.25">
      <c r="C26" s="83" t="s">
        <v>209</v>
      </c>
      <c r="D26" s="109">
        <v>130</v>
      </c>
      <c r="E26" s="112">
        <v>0.05</v>
      </c>
      <c r="F26" s="111">
        <v>6</v>
      </c>
    </row>
    <row r="27" spans="3:6" x14ac:dyDescent="0.25">
      <c r="C27" s="83" t="s">
        <v>193</v>
      </c>
      <c r="D27" s="109">
        <v>131</v>
      </c>
      <c r="E27" s="113">
        <v>0.1</v>
      </c>
      <c r="F27" s="111">
        <v>10</v>
      </c>
    </row>
    <row r="28" spans="3:6" x14ac:dyDescent="0.25">
      <c r="C28" s="83" t="s">
        <v>205</v>
      </c>
      <c r="D28" s="109">
        <v>132</v>
      </c>
      <c r="E28" s="113">
        <v>0.1</v>
      </c>
      <c r="F28" s="111">
        <v>10</v>
      </c>
    </row>
    <row r="29" spans="3:6" x14ac:dyDescent="0.25">
      <c r="C29" s="83" t="s">
        <v>194</v>
      </c>
      <c r="D29" s="109">
        <v>133</v>
      </c>
      <c r="E29" s="113">
        <v>0.05</v>
      </c>
      <c r="F29" s="111">
        <v>5</v>
      </c>
    </row>
    <row r="30" spans="3:6" x14ac:dyDescent="0.25">
      <c r="C30" s="83" t="s">
        <v>187</v>
      </c>
      <c r="D30" s="109">
        <v>202</v>
      </c>
      <c r="E30" s="110">
        <v>0.4</v>
      </c>
      <c r="F30" s="111">
        <v>15</v>
      </c>
    </row>
    <row r="31" spans="3:6" x14ac:dyDescent="0.25">
      <c r="C31" s="83" t="s">
        <v>219</v>
      </c>
      <c r="D31" s="109">
        <v>201</v>
      </c>
      <c r="E31" s="110">
        <v>0.65</v>
      </c>
      <c r="F31" s="111">
        <v>15</v>
      </c>
    </row>
    <row r="32" spans="3:6" x14ac:dyDescent="0.25">
      <c r="C32" s="83" t="s">
        <v>226</v>
      </c>
      <c r="D32" s="109">
        <v>203</v>
      </c>
      <c r="E32" s="110">
        <v>0.4</v>
      </c>
      <c r="F32" s="111">
        <v>20</v>
      </c>
    </row>
    <row r="33" spans="3:6" x14ac:dyDescent="0.25">
      <c r="C33" s="84" t="s">
        <v>189</v>
      </c>
      <c r="D33" s="109">
        <v>204</v>
      </c>
      <c r="E33" s="110">
        <v>0.46</v>
      </c>
      <c r="F33" s="111">
        <v>20</v>
      </c>
    </row>
    <row r="34" spans="3:6" x14ac:dyDescent="0.25">
      <c r="C34" s="83" t="s">
        <v>236</v>
      </c>
      <c r="D34" s="109">
        <v>205</v>
      </c>
      <c r="E34" s="112">
        <v>0.15</v>
      </c>
      <c r="F34" s="111">
        <v>10</v>
      </c>
    </row>
    <row r="35" spans="3:6" x14ac:dyDescent="0.25">
      <c r="C35" s="83" t="s">
        <v>191</v>
      </c>
      <c r="D35" s="109">
        <v>206</v>
      </c>
      <c r="E35" s="110">
        <v>7.0000000000000007E-2</v>
      </c>
      <c r="F35" s="111">
        <v>10</v>
      </c>
    </row>
    <row r="36" spans="3:6" x14ac:dyDescent="0.25">
      <c r="C36" s="84" t="s">
        <v>225</v>
      </c>
      <c r="D36" s="109">
        <v>207</v>
      </c>
      <c r="E36" s="110">
        <v>0.3</v>
      </c>
      <c r="F36" s="111">
        <v>10</v>
      </c>
    </row>
    <row r="37" spans="3:6" x14ac:dyDescent="0.25">
      <c r="C37" s="83" t="s">
        <v>243</v>
      </c>
      <c r="D37" s="109">
        <v>209</v>
      </c>
      <c r="E37" s="112">
        <v>0.55000000000000004</v>
      </c>
      <c r="F37" s="111">
        <v>20</v>
      </c>
    </row>
    <row r="38" spans="3:6" x14ac:dyDescent="0.25">
      <c r="C38" s="83" t="s">
        <v>217</v>
      </c>
      <c r="D38" s="109">
        <v>217</v>
      </c>
      <c r="E38" s="110">
        <v>0.6</v>
      </c>
      <c r="F38" s="111">
        <v>10</v>
      </c>
    </row>
    <row r="39" spans="3:6" x14ac:dyDescent="0.25">
      <c r="C39" s="83" t="s">
        <v>246</v>
      </c>
      <c r="D39" s="109">
        <v>218</v>
      </c>
      <c r="E39" s="110">
        <v>0.55000000000000004</v>
      </c>
      <c r="F39" s="111">
        <v>20</v>
      </c>
    </row>
    <row r="40" spans="3:6" x14ac:dyDescent="0.25">
      <c r="C40" s="83" t="s">
        <v>213</v>
      </c>
      <c r="D40" s="109">
        <v>219</v>
      </c>
      <c r="E40" s="110">
        <v>0.1</v>
      </c>
      <c r="F40" s="111">
        <v>10</v>
      </c>
    </row>
    <row r="41" spans="3:6" x14ac:dyDescent="0.25">
      <c r="C41" s="83" t="s">
        <v>279</v>
      </c>
      <c r="D41" s="109">
        <v>222</v>
      </c>
      <c r="E41" s="110">
        <v>0.1</v>
      </c>
      <c r="F41" s="111">
        <v>10</v>
      </c>
    </row>
    <row r="42" spans="3:6" x14ac:dyDescent="0.25">
      <c r="C42" s="83" t="s">
        <v>240</v>
      </c>
      <c r="D42" s="109">
        <v>303</v>
      </c>
      <c r="E42" s="110">
        <v>0.42</v>
      </c>
      <c r="F42" s="111">
        <v>10</v>
      </c>
    </row>
    <row r="43" spans="3:6" x14ac:dyDescent="0.25">
      <c r="C43" s="84" t="s">
        <v>241</v>
      </c>
      <c r="D43" s="109">
        <v>304</v>
      </c>
      <c r="E43" s="110">
        <v>0.4</v>
      </c>
      <c r="F43" s="111">
        <v>15</v>
      </c>
    </row>
    <row r="44" spans="3:6" x14ac:dyDescent="0.25">
      <c r="C44" s="83" t="s">
        <v>242</v>
      </c>
      <c r="D44" s="109">
        <v>305</v>
      </c>
      <c r="E44" s="112">
        <v>0.75</v>
      </c>
      <c r="F44" s="111">
        <v>15</v>
      </c>
    </row>
    <row r="45" spans="3:6" x14ac:dyDescent="0.25">
      <c r="C45" s="85" t="s">
        <v>222</v>
      </c>
      <c r="D45" s="114">
        <v>401</v>
      </c>
      <c r="E45" s="115">
        <v>0.2</v>
      </c>
      <c r="F45" s="111">
        <v>2</v>
      </c>
    </row>
    <row r="46" spans="3:6" x14ac:dyDescent="0.25">
      <c r="C46" s="85" t="s">
        <v>215</v>
      </c>
      <c r="D46" s="114">
        <v>402</v>
      </c>
      <c r="E46" s="115">
        <v>0.25</v>
      </c>
      <c r="F46" s="111">
        <v>2</v>
      </c>
    </row>
    <row r="47" spans="3:6" x14ac:dyDescent="0.25">
      <c r="C47" s="84" t="s">
        <v>223</v>
      </c>
      <c r="D47" s="114">
        <v>403</v>
      </c>
      <c r="E47" s="115">
        <v>0.1</v>
      </c>
      <c r="F47" s="111">
        <v>2</v>
      </c>
    </row>
    <row r="48" spans="3:6" x14ac:dyDescent="0.25">
      <c r="C48" s="84" t="s">
        <v>211</v>
      </c>
      <c r="D48" s="114">
        <v>404</v>
      </c>
      <c r="E48" s="115">
        <v>0.65</v>
      </c>
      <c r="F48" s="111">
        <v>2</v>
      </c>
    </row>
    <row r="49" spans="3:6" x14ac:dyDescent="0.25">
      <c r="C49" s="85" t="s">
        <v>228</v>
      </c>
      <c r="D49" s="114">
        <v>407</v>
      </c>
      <c r="E49" s="112">
        <v>0.2</v>
      </c>
      <c r="F49" s="111">
        <v>10</v>
      </c>
    </row>
    <row r="50" spans="3:6" x14ac:dyDescent="0.25">
      <c r="C50" s="83" t="s">
        <v>237</v>
      </c>
      <c r="D50" s="109">
        <v>501</v>
      </c>
      <c r="E50" s="110">
        <v>0.15</v>
      </c>
      <c r="F50" s="111">
        <v>20</v>
      </c>
    </row>
    <row r="51" spans="3:6" x14ac:dyDescent="0.25">
      <c r="C51" s="83" t="s">
        <v>247</v>
      </c>
      <c r="D51" s="109">
        <v>502</v>
      </c>
      <c r="E51" s="110">
        <v>0.3</v>
      </c>
      <c r="F51" s="111">
        <v>20</v>
      </c>
    </row>
    <row r="52" spans="3:6" x14ac:dyDescent="0.25">
      <c r="C52" s="83" t="s">
        <v>249</v>
      </c>
      <c r="D52" s="109">
        <v>503</v>
      </c>
      <c r="E52" s="110">
        <v>0.25</v>
      </c>
      <c r="F52" s="111">
        <v>20</v>
      </c>
    </row>
    <row r="53" spans="3:6" x14ac:dyDescent="0.25">
      <c r="C53" s="83" t="s">
        <v>182</v>
      </c>
      <c r="D53" s="109">
        <v>504</v>
      </c>
      <c r="E53" s="110">
        <v>0.25</v>
      </c>
      <c r="F53" s="111">
        <v>20</v>
      </c>
    </row>
    <row r="54" spans="3:6" x14ac:dyDescent="0.25">
      <c r="C54" s="84" t="s">
        <v>196</v>
      </c>
      <c r="D54" s="109">
        <v>505</v>
      </c>
      <c r="E54" s="110">
        <v>0.5</v>
      </c>
      <c r="F54" s="111">
        <v>10</v>
      </c>
    </row>
    <row r="55" spans="3:6" x14ac:dyDescent="0.25">
      <c r="C55" s="83" t="s">
        <v>192</v>
      </c>
      <c r="D55" s="109">
        <v>506</v>
      </c>
      <c r="E55" s="112">
        <v>0.5</v>
      </c>
      <c r="F55" s="111">
        <v>10</v>
      </c>
    </row>
    <row r="56" spans="3:6" x14ac:dyDescent="0.25">
      <c r="C56" s="84" t="s">
        <v>197</v>
      </c>
      <c r="D56" s="109">
        <v>507</v>
      </c>
      <c r="E56" s="112">
        <v>0.65</v>
      </c>
      <c r="F56" s="111">
        <v>10</v>
      </c>
    </row>
    <row r="57" spans="3:6" x14ac:dyDescent="0.25">
      <c r="C57" s="84" t="s">
        <v>184</v>
      </c>
      <c r="D57" s="109">
        <v>510</v>
      </c>
      <c r="E57" s="116">
        <v>0.4</v>
      </c>
      <c r="F57" s="111">
        <v>10</v>
      </c>
    </row>
    <row r="58" spans="3:6" x14ac:dyDescent="0.25">
      <c r="C58" s="83" t="s">
        <v>173</v>
      </c>
      <c r="D58" s="109">
        <v>511</v>
      </c>
      <c r="E58" s="112">
        <v>0.1</v>
      </c>
      <c r="F58" s="111">
        <v>10</v>
      </c>
    </row>
    <row r="59" spans="3:6" x14ac:dyDescent="0.25">
      <c r="C59" s="83" t="s">
        <v>190</v>
      </c>
      <c r="D59" s="109">
        <v>514</v>
      </c>
      <c r="E59" s="110">
        <v>0.8</v>
      </c>
      <c r="F59" s="111">
        <v>30</v>
      </c>
    </row>
    <row r="60" spans="3:6" x14ac:dyDescent="0.25">
      <c r="C60" s="83" t="s">
        <v>179</v>
      </c>
      <c r="D60" s="109">
        <v>515</v>
      </c>
      <c r="E60" s="110">
        <v>0.65</v>
      </c>
      <c r="F60" s="111">
        <v>30</v>
      </c>
    </row>
    <row r="61" spans="3:6" x14ac:dyDescent="0.25">
      <c r="C61" s="84" t="s">
        <v>178</v>
      </c>
      <c r="D61" s="109">
        <v>516</v>
      </c>
      <c r="E61" s="110">
        <v>0.95</v>
      </c>
      <c r="F61" s="111">
        <v>20</v>
      </c>
    </row>
    <row r="62" spans="3:6" x14ac:dyDescent="0.25">
      <c r="C62" s="83" t="s">
        <v>176</v>
      </c>
      <c r="D62" s="109">
        <v>517</v>
      </c>
      <c r="E62" s="112">
        <v>0.28000000000000003</v>
      </c>
      <c r="F62" s="111">
        <v>20</v>
      </c>
    </row>
    <row r="63" spans="3:6" x14ac:dyDescent="0.25">
      <c r="C63" s="83" t="s">
        <v>212</v>
      </c>
      <c r="D63" s="109">
        <v>518</v>
      </c>
      <c r="E63" s="110">
        <v>0.45</v>
      </c>
      <c r="F63" s="111">
        <v>10</v>
      </c>
    </row>
    <row r="64" spans="3:6" x14ac:dyDescent="0.25">
      <c r="C64" s="83" t="s">
        <v>174</v>
      </c>
      <c r="D64" s="109">
        <v>519</v>
      </c>
      <c r="E64" s="110">
        <v>0.25</v>
      </c>
      <c r="F64" s="111">
        <v>10</v>
      </c>
    </row>
    <row r="65" spans="3:6" x14ac:dyDescent="0.25">
      <c r="C65" s="83" t="s">
        <v>234</v>
      </c>
      <c r="D65" s="109">
        <v>520</v>
      </c>
      <c r="E65" s="110">
        <v>0.4</v>
      </c>
      <c r="F65" s="111">
        <v>10</v>
      </c>
    </row>
    <row r="66" spans="3:6" x14ac:dyDescent="0.25">
      <c r="C66" s="83" t="s">
        <v>175</v>
      </c>
      <c r="D66" s="109">
        <v>521</v>
      </c>
      <c r="E66" s="113">
        <v>0.25</v>
      </c>
      <c r="F66" s="111">
        <v>10</v>
      </c>
    </row>
    <row r="67" spans="3:6" x14ac:dyDescent="0.25">
      <c r="C67" s="83" t="s">
        <v>235</v>
      </c>
      <c r="D67" s="109">
        <v>522</v>
      </c>
      <c r="E67" s="113">
        <v>0.4</v>
      </c>
      <c r="F67" s="111">
        <v>10</v>
      </c>
    </row>
    <row r="68" spans="3:6" x14ac:dyDescent="0.25">
      <c r="C68" s="83" t="s">
        <v>183</v>
      </c>
      <c r="D68" s="109">
        <v>523</v>
      </c>
      <c r="E68" s="113">
        <v>0.95</v>
      </c>
      <c r="F68" s="111">
        <v>10</v>
      </c>
    </row>
    <row r="69" spans="3:6" x14ac:dyDescent="0.25">
      <c r="C69" s="83" t="s">
        <v>198</v>
      </c>
      <c r="D69" s="109">
        <v>524</v>
      </c>
      <c r="E69" s="113">
        <v>0.1</v>
      </c>
      <c r="F69" s="111">
        <v>10</v>
      </c>
    </row>
    <row r="70" spans="3:6" x14ac:dyDescent="0.25">
      <c r="C70" s="84" t="s">
        <v>188</v>
      </c>
      <c r="D70" s="109">
        <v>525</v>
      </c>
      <c r="E70" s="113">
        <v>0.25</v>
      </c>
      <c r="F70" s="111">
        <v>10</v>
      </c>
    </row>
    <row r="71" spans="3:6" x14ac:dyDescent="0.25">
      <c r="C71" s="83" t="s">
        <v>199</v>
      </c>
      <c r="D71" s="109">
        <v>526</v>
      </c>
      <c r="E71" s="112">
        <v>0.5</v>
      </c>
      <c r="F71" s="111">
        <v>10</v>
      </c>
    </row>
    <row r="72" spans="3:6" x14ac:dyDescent="0.25">
      <c r="C72" s="83" t="s">
        <v>200</v>
      </c>
      <c r="D72" s="109">
        <v>527</v>
      </c>
      <c r="E72" s="113">
        <v>0.95</v>
      </c>
      <c r="F72" s="111">
        <v>10</v>
      </c>
    </row>
    <row r="73" spans="3:6" x14ac:dyDescent="0.25">
      <c r="C73" s="83" t="s">
        <v>180</v>
      </c>
      <c r="D73" s="109">
        <v>528</v>
      </c>
      <c r="E73" s="113">
        <v>0.2</v>
      </c>
      <c r="F73" s="111">
        <v>10</v>
      </c>
    </row>
    <row r="74" spans="3:6" x14ac:dyDescent="0.25">
      <c r="C74" s="83" t="s">
        <v>267</v>
      </c>
      <c r="D74" s="109">
        <v>529</v>
      </c>
      <c r="E74" s="113">
        <v>0.35</v>
      </c>
      <c r="F74" s="111">
        <v>10</v>
      </c>
    </row>
    <row r="75" spans="3:6" x14ac:dyDescent="0.25">
      <c r="C75" s="83" t="s">
        <v>245</v>
      </c>
      <c r="D75" s="109">
        <v>532</v>
      </c>
      <c r="E75" s="112">
        <v>0.25</v>
      </c>
      <c r="F75" s="111">
        <v>10</v>
      </c>
    </row>
    <row r="76" spans="3:6" x14ac:dyDescent="0.25">
      <c r="C76" s="83" t="s">
        <v>244</v>
      </c>
      <c r="D76" s="109">
        <v>533</v>
      </c>
      <c r="E76" s="113">
        <v>0.15</v>
      </c>
      <c r="F76" s="111">
        <v>5</v>
      </c>
    </row>
    <row r="77" spans="3:6" x14ac:dyDescent="0.25">
      <c r="C77" s="83" t="s">
        <v>248</v>
      </c>
      <c r="D77" s="109">
        <v>535</v>
      </c>
      <c r="E77" s="113">
        <v>0.2</v>
      </c>
      <c r="F77" s="111">
        <v>10</v>
      </c>
    </row>
    <row r="78" spans="3:6" x14ac:dyDescent="0.25">
      <c r="C78" s="83" t="s">
        <v>250</v>
      </c>
      <c r="D78" s="109">
        <v>536</v>
      </c>
      <c r="E78" s="113">
        <v>0.4</v>
      </c>
      <c r="F78" s="111">
        <v>20</v>
      </c>
    </row>
    <row r="79" spans="3:6" x14ac:dyDescent="0.25">
      <c r="C79" s="83" t="s">
        <v>181</v>
      </c>
      <c r="D79" s="109">
        <v>537</v>
      </c>
      <c r="E79" s="113">
        <v>0.4</v>
      </c>
      <c r="F79" s="111">
        <v>20</v>
      </c>
    </row>
    <row r="80" spans="3:6" x14ac:dyDescent="0.25">
      <c r="C80" s="83" t="s">
        <v>185</v>
      </c>
      <c r="D80" s="109">
        <v>538</v>
      </c>
      <c r="E80" s="113">
        <v>0.45</v>
      </c>
      <c r="F80" s="111">
        <v>20</v>
      </c>
    </row>
    <row r="81" spans="3:6" x14ac:dyDescent="0.25">
      <c r="C81" s="83" t="s">
        <v>216</v>
      </c>
      <c r="D81" s="109">
        <v>539</v>
      </c>
      <c r="E81" s="113">
        <v>0.4</v>
      </c>
      <c r="F81" s="111">
        <v>20</v>
      </c>
    </row>
    <row r="82" spans="3:6" x14ac:dyDescent="0.25">
      <c r="C82" s="83" t="s">
        <v>221</v>
      </c>
      <c r="D82" s="109">
        <v>540</v>
      </c>
      <c r="E82" s="113">
        <v>0.25</v>
      </c>
      <c r="F82" s="111">
        <v>10</v>
      </c>
    </row>
    <row r="83" spans="3:6" x14ac:dyDescent="0.25">
      <c r="C83" s="83" t="s">
        <v>177</v>
      </c>
      <c r="D83" s="109">
        <v>542</v>
      </c>
      <c r="E83" s="113">
        <v>0.35</v>
      </c>
      <c r="F83" s="111">
        <v>10</v>
      </c>
    </row>
    <row r="84" spans="3:6" x14ac:dyDescent="0.25">
      <c r="C84" s="83" t="s">
        <v>231</v>
      </c>
      <c r="D84" s="109">
        <v>543</v>
      </c>
      <c r="E84" s="113">
        <v>0.35</v>
      </c>
      <c r="F84" s="111">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2018-08-02T18:58:13Z</cp:lastPrinted>
  <dcterms:created xsi:type="dcterms:W3CDTF">2012-07-25T15:48:32Z</dcterms:created>
  <dcterms:modified xsi:type="dcterms:W3CDTF">2018-10-29T20:21:53Z</dcterms:modified>
</cp:coreProperties>
</file>