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5. SH 146 Access Management\"/>
    </mc:Choice>
  </mc:AlternateContent>
  <xr:revisionPtr revIDLastSave="0" documentId="13_ncr:1_{3E69C736-C0F1-4BCC-89B3-AEF4FA6ACA8F}"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Outputs'!$A$1:$G$60</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<sst xmlns="http://schemas.openxmlformats.org/spreadsheetml/2006/main" count="291" uniqueCount="237">
  <si>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</si>
  <si>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</si>
  <si>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</si>
  <si>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</si>
  <si>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</si>
  <si>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</si>
  <si>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</si>
  <si>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</si>
  <si>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</si>
  <si>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</si>
  <si>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</si>
  <si>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</si>
  <si>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</si>
  <si>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</si>
  <si>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</si>
  <si>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</si>
  <si>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</si>
  <si>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</si>
  <si>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</si>
  <si>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</si>
  <si>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</si>
  <si>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</si>
  <si>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</si>
  <si>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</si>
  <si>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</si>
  <si>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</si>
  <si>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</si>
  <si>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</si>
  <si>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</si>
  <si>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</si>
  <si>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</si>
  <si>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</si>
  <si>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</si>
  <si>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</si>
  <si>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</si>
  <si>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</si>
  <si>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</si>
  <si>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</si>
  <si>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</si>
  <si>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</si>
  <si>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</si>
  <si>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</si>
  <si>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</si>
  <si>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</si>
  <si>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</si>
  <si>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</si>
  <si>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</si>
  <si>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</si>
  <si>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</si>
  <si>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</si>
  <si>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</si>
  <si>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</si>
  <si>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</si>
  <si>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</si>
  <si>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</si>
  <si>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</si>
  <si>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</si>
  <si>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</si>
  <si>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</si>
  <si>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</si>
  <si>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</si>
  <si>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</si>
  <si>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</si>
  <si>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</si>
  <si>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</si>
  <si>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</si>
  <si>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</si>
  <si>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</si>
  <si>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</si>
  <si>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</si>
  <si>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</si>
  <si>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</si>
  <si>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</si>
  <si>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</si>
  <si>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</si>
  <si>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</si>
  <si>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</si>
  <si>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</si>
  <si>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</si>
  <si>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</si>
  <si>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</si>
  <si>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</si>
  <si>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</si>
  <si>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</si>
  <si>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</si>
  <si>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</si>
  <si>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</si>
  <si>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</si>
  <si>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</si>
  <si>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</si>
  <si>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</si>
  <si>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</si>
  <si>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</si>
  <si>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</si>
  <si>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</si>
  <si>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</si>
  <si>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</si>
  <si>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</si>
  <si>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</si>
  <si>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</si>
  <si>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</si>
  <si>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</si>
  <si>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</si>
  <si>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</si>
  <si>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</si>
  <si>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</si>
  <si>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</si>
  <si>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</si>
  <si>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</si>
  <si>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</si>
  <si>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</si>
  <si>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</si>
  <si>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</si>
  <si>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</si>
  <si>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</si>
  <si>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</si>
  <si>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</si>
  <si>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</si>
  <si>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</si>
  <si>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</si>
  <si>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</si>
  <si>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</si>
  <si>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</si>
  <si>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</si>
  <si>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</si>
  <si>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</si>
  <si>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</si>
  <si>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</si>
  <si>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</si>
  <si>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</si>
  <si>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</si>
  <si>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</si>
  <si>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</si>
  <si>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</si>
  <si>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</si>
  <si>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</si>
  <si>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</si>
  <si>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</si>
  <si>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</si>
  <si>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</si>
  <si>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</si>
  <si>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</si>
  <si>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</si>
  <si>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</si>
  <si>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</si>
  <si>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</si>
  <si>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</si>
  <si>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</si>
  <si>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</si>
  <si>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</si>
  <si>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</si>
  <si>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</si>
  <si>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</si>
  <si>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</si>
  <si>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</si>
  <si>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</si>
  <si>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</si>
  <si>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</si>
  <si>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</si>
  <si>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</si>
  <si>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</si>
  <si>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</si>
  <si>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</si>
  <si>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</si>
  <si>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</si>
  <si>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</si>
  <si>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</si>
  <si>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</si>
  <si>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</si>
  <si>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</si>
  <si>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</si>
  <si>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</si>
  <si>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</si>
  <si>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</si>
  <si>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</si>
  <si>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</si>
  <si>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</si>
  <si>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</si>
  <si>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</si>
  <si>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</si>
  <si>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</si>
  <si>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</si>
  <si>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</si>
  <si>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</si>
  <si>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</si>
  <si>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</si>
  <si>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</si>
  <si>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</si>
  <si>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</si>
  <si>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</si>
  <si>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</si>
  <si>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</si>
  <si>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</si>
  <si>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</si>
  <si>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</si>
  <si>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</si>
  <si>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</si>
  <si>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</si>
  <si>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</si>
  <si>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</si>
  <si>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</si>
  <si>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</si>
  <si>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</si>
  <si>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</si>
  <si>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</si>
  <si>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</si>
  <si>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</si>
  <si>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</si>
  <si>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</si>
  <si>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</si>
  <si>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</si>
  <si>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</si>
  <si>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</si>
  <si>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</si>
  <si>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</si>
  <si>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</si>
  <si>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</si>
  <si>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</si>
  <si>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</si>
  <si>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</si>
  <si>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</si>
  <si>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</si>
  <si>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</si>
  <si>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</si>
  <si>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</si>
  <si>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</si>
  <si>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</si>
  <si>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</si>
  <si>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</si>
  <si>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</si>
  <si>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</si>
  <si>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</si>
  <si>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</si>
  <si>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SH 146 Access Management</t>
  </si>
  <si>
    <t>SH 146</t>
  </si>
  <si>
    <t>IH 10</t>
  </si>
  <si>
    <t>Lynchburg Canal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</si>
</sst>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E38" sqref="E3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233</v>
      </c>
      <c r="D6" s="8"/>
      <c r="E6" s="103" t="s">
        <v>187</v>
      </c>
    </row>
    <row r="7" spans="1:7" x14ac:dyDescent="0.25">
      <c r="A7" s="8" t="s">
        <v>98</v>
      </c>
      <c r="B7" s="138" t="s">
        <v>198</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5.8</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4">
        <f>$B$12/$B$32</f>
        <v>9.8305084745762703E-2</v>
      </c>
    </row>
    <row r="19" spans="1:7" ht="30" x14ac:dyDescent="0.25">
      <c r="A19" s="8" t="s">
        <v>121</v>
      </c>
      <c r="B19" s="140" t="s">
        <v>105</v>
      </c>
      <c r="E19" s="107" t="s">
        <v>212</v>
      </c>
      <c r="F19" s="145">
        <f>$B$12/$B$33</f>
        <v>0.11372549019607843</v>
      </c>
    </row>
    <row r="20" spans="1:7" ht="30" x14ac:dyDescent="0.25">
      <c r="A20" s="135" t="s">
        <v>208</v>
      </c>
      <c r="B20" s="136">
        <f>VLOOKUP(B19,'Delay Reduction Factors'!B4:C80,2, FALSE)</f>
        <v>0.3</v>
      </c>
      <c r="E20" s="107" t="s">
        <v>209</v>
      </c>
      <c r="F20" s="144">
        <f>$F$19-$F$18</f>
        <v>1.5420405450315727E-2</v>
      </c>
    </row>
    <row r="21" spans="1:7" x14ac:dyDescent="0.25">
      <c r="A21" s="8" t="s">
        <v>104</v>
      </c>
      <c r="B21" s="79">
        <v>20</v>
      </c>
      <c r="D21" s="121"/>
      <c r="E21" s="105" t="s">
        <v>210</v>
      </c>
      <c r="F21" s="144">
        <f>$F$20*$B$20</f>
        <v>4.6261216350947177E-3</v>
      </c>
      <c r="G21" s="122"/>
    </row>
    <row r="22" spans="1:7" s="113" customFormat="1" x14ac:dyDescent="0.25">
      <c r="D22" s="121"/>
      <c r="E22" s="105" t="s">
        <v>211</v>
      </c>
      <c r="F22" s="144">
        <f>$F$20-$F$21</f>
        <v>1.079428381522101E-2</v>
      </c>
      <c r="G22" s="122"/>
    </row>
    <row r="23" spans="1:7" x14ac:dyDescent="0.25">
      <c r="E23" s="105" t="s">
        <v>213</v>
      </c>
      <c r="F23" s="144">
        <f>$F$18+$F$22</f>
        <v>0.10909936856098371</v>
      </c>
    </row>
    <row r="24" spans="1:7" x14ac:dyDescent="0.25">
      <c r="A24" s="119" t="s">
        <v>94</v>
      </c>
      <c r="B24" s="123"/>
      <c r="D24" s="121"/>
      <c r="G24" s="124"/>
    </row>
    <row r="25" spans="1:7" x14ac:dyDescent="0.25">
      <c r="A25" s="8" t="s">
        <v>218</v>
      </c>
      <c r="B25" s="148">
        <v>13073</v>
      </c>
      <c r="D25" s="121"/>
      <c r="G25" s="124"/>
    </row>
    <row r="28" spans="1:7" x14ac:dyDescent="0.25">
      <c r="A28" s="105" t="s">
        <v>227</v>
      </c>
      <c r="B28" s="134">
        <f>IF(FacilityType='Delay Reduction Factors'!N5,'Inputs &amp; Outputs'!B25*45%, B25*43%)</f>
        <v>5621.39</v>
      </c>
      <c r="D28" s="121"/>
      <c r="E28" s="125" t="s">
        <v>95</v>
      </c>
      <c r="F28" s="126" t="s">
        <v>20</v>
      </c>
      <c r="G28" s="127" t="s">
        <v>19</v>
      </c>
    </row>
    <row r="29" spans="1:7" x14ac:dyDescent="0.25">
      <c r="A29" s="105" t="s">
        <v>228</v>
      </c>
      <c r="B29" s="115">
        <f>VLOOKUP(Year_Open_to_Traffic?,Calculations!H4:I36,2)</f>
        <v>7110</v>
      </c>
      <c r="D29" s="121"/>
      <c r="E29" s="107" t="s">
        <v>122</v>
      </c>
      <c r="F29" s="101">
        <f>$B$29*$F$23</f>
        <v>775.69651046859417</v>
      </c>
      <c r="G29" s="102">
        <f>$B$29*$F$19</f>
        <v>808.58823529411768</v>
      </c>
    </row>
    <row r="30" spans="1:7" x14ac:dyDescent="0.25">
      <c r="A30" s="124"/>
      <c r="B30" s="100"/>
      <c r="D30" s="121"/>
    </row>
    <row r="32" spans="1:7" x14ac:dyDescent="0.25">
      <c r="A32" s="128" t="s">
        <v>221</v>
      </c>
      <c r="B32" s="141">
        <v>59</v>
      </c>
      <c r="D32" s="121"/>
    </row>
    <row r="33" spans="1:7" ht="30" x14ac:dyDescent="0.25">
      <c r="A33" s="129" t="s">
        <v>222</v>
      </c>
      <c r="B33" s="142">
        <v>51</v>
      </c>
      <c r="D33" s="121"/>
      <c r="E33" s="121"/>
      <c r="F33" s="130"/>
      <c r="G33" s="117"/>
    </row>
    <row r="34" spans="1:7" x14ac:dyDescent="0.25">
      <c r="A34" s="131"/>
      <c r="B34" s="143"/>
      <c r="E34" s="117"/>
      <c r="F34" s="130"/>
      <c r="G34" s="130"/>
    </row>
    <row r="35" spans="1:7" x14ac:dyDescent="0.25">
      <c r="A35" s="105" t="s">
        <v>223</v>
      </c>
      <c r="B35" s="147">
        <f>$B$28</f>
        <v>5621.39</v>
      </c>
    </row>
    <row r="36" spans="1:7" x14ac:dyDescent="0.25">
      <c r="A36" s="128" t="s">
        <v>224</v>
      </c>
      <c r="B36" s="141">
        <v>20510</v>
      </c>
    </row>
    <row r="37" spans="1:7" x14ac:dyDescent="0.25">
      <c r="A37" s="128" t="s">
        <v>229</v>
      </c>
      <c r="B37" s="141">
        <v>7110</v>
      </c>
    </row>
    <row r="38" spans="1:7" x14ac:dyDescent="0.25">
      <c r="A38" s="128" t="s">
        <v>225</v>
      </c>
      <c r="B38" s="141">
        <v>20510</v>
      </c>
    </row>
    <row r="39" spans="1:7" x14ac:dyDescent="0.25">
      <c r="A39" s="128" t="s">
        <v>230</v>
      </c>
      <c r="B39" s="141">
        <v>14666</v>
      </c>
    </row>
    <row r="40" spans="1:7" x14ac:dyDescent="0.25">
      <c r="A40" s="128" t="s">
        <v>226</v>
      </c>
      <c r="B40" s="141">
        <v>20510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2836.6331756093018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4" fitToWidth="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201681.09272183449</v>
      </c>
      <c r="F4" s="22">
        <f>'Inputs &amp; Outputs'!G29*Annual_Days_of_Travel</f>
        <v>210232.9411764706</v>
      </c>
      <c r="H4" s="59">
        <v>2018</v>
      </c>
      <c r="I4" s="60">
        <f>'Inputs &amp; Outputs'!B28</f>
        <v>5621.39</v>
      </c>
      <c r="J4" s="60">
        <f>IF(H4=Year_Open_to_Traffic?,$F$4,0)</f>
        <v>0</v>
      </c>
      <c r="K4" s="60">
        <f>IF(H4=Year_Open_to_Traffic?,Calculations!$E$4,0)</f>
        <v>0</v>
      </c>
      <c r="L4" s="60">
        <f>IF(AND(H4&gt;=Year_Open_to_Traffic?, Calculations!H4&lt;Year_Open_to_Traffic?+'Inputs &amp; Outputs'!B$21), 1, 0)</f>
        <v>0</v>
      </c>
      <c r="M4" s="81" t="s">
        <v>75</v>
      </c>
      <c r="N4" s="82">
        <f>MIN(E8,1)</f>
        <v>0.27408044856167724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3.4129974128465523E-2</v>
      </c>
      <c r="F5" s="28"/>
      <c r="H5" s="15">
        <f t="shared" ref="H5:H36" si="3">H4+1</f>
        <v>2019</v>
      </c>
      <c r="I5" s="97">
        <f>(I4*M5)+I4</f>
        <v>5813.2478952660149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3.4129974128465523E-2</v>
      </c>
      <c r="N5" s="87">
        <f t="shared" ref="N5:N11" si="6">N4*(1+IFERROR(_2018_2025_V_C_Growth,_2018_2045_V_C_Growth))</f>
        <v>0.28343480718020553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3.6864735330737641E-2</v>
      </c>
      <c r="F6" s="28"/>
      <c r="H6" s="59">
        <f t="shared" si="3"/>
        <v>2020</v>
      </c>
      <c r="I6" s="97">
        <f t="shared" ref="I6:I36" si="10">(I5*M6)+I5</f>
        <v>6011.653895533801</v>
      </c>
      <c r="J6" s="60">
        <f t="shared" si="4"/>
        <v>0</v>
      </c>
      <c r="K6" s="60">
        <f>IF(H6=Year_Open_to_Traffic?,Calculations!$E$4,K5+(K5*M6))</f>
        <v>0</v>
      </c>
      <c r="L6" s="60">
        <f>IF(AND(H6&gt;=Year_Open_to_Traffic?, Calculations!H6&lt;Year_Open_to_Traffic?+'Inputs &amp; Outputs'!B$21), 1, 0)</f>
        <v>0</v>
      </c>
      <c r="M6" s="81">
        <f t="shared" si="5"/>
        <v>3.4129974128465523E-2</v>
      </c>
      <c r="N6" s="87">
        <f t="shared" si="6"/>
        <v>0.29310842981637258</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3.6155029497726865E-2</v>
      </c>
      <c r="F7" s="28"/>
      <c r="H7" s="15">
        <f t="shared" si="3"/>
        <v>2021</v>
      </c>
      <c r="I7" s="97">
        <f t="shared" si="10"/>
        <v>6216.831487457659</v>
      </c>
      <c r="J7" s="60">
        <f t="shared" si="4"/>
        <v>0</v>
      </c>
      <c r="K7" s="60">
        <f>IF(H7=Year_Open_to_Traffic?,Calculations!$E$4,K6+(K6*M7))</f>
        <v>0</v>
      </c>
      <c r="L7" s="60">
        <f>IF(AND(H7&gt;=Year_Open_to_Traffic?, Calculations!H7&lt;Year_Open_to_Traffic?+'Inputs &amp; Outputs'!B$21), 1, 0)</f>
        <v>0</v>
      </c>
      <c r="M7" s="81">
        <f t="shared" si="5"/>
        <v>3.4129974128465523E-2</v>
      </c>
      <c r="N7" s="87">
        <f t="shared" si="6"/>
        <v>0.30311221294284052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0.27408044856167724</v>
      </c>
      <c r="F8" s="28"/>
      <c r="H8" s="59">
        <f t="shared" si="3"/>
        <v>2022</v>
      </c>
      <c r="I8" s="97">
        <f t="shared" si="10"/>
        <v>6429.0117852856183</v>
      </c>
      <c r="J8" s="60">
        <f t="shared" si="4"/>
        <v>0</v>
      </c>
      <c r="K8" s="60">
        <f>IF(H8=Year_Open_to_Traffic?,Calculations!$E$4,K7+(K7*M8))</f>
        <v>0</v>
      </c>
      <c r="L8" s="60">
        <f>IF(AND(H8&gt;=Year_Open_to_Traffic?, Calculations!H8&lt;Year_Open_to_Traffic?+'Inputs &amp; Outputs'!B$21), 1, 0)</f>
        <v>0</v>
      </c>
      <c r="M8" s="81">
        <f t="shared" si="5"/>
        <v>3.4129974128465523E-2</v>
      </c>
      <c r="N8" s="87">
        <f t="shared" si="6"/>
        <v>0.31345742492860162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0.34666016577279374</v>
      </c>
      <c r="F9" s="28"/>
      <c r="H9" s="15">
        <f t="shared" si="3"/>
        <v>2023</v>
      </c>
      <c r="I9" s="97">
        <f t="shared" si="10"/>
        <v>6648.4337911890161</v>
      </c>
      <c r="J9" s="60">
        <f t="shared" si="4"/>
        <v>0</v>
      </c>
      <c r="K9" s="60">
        <f>IF(H9=Year_Open_to_Traffic?,Calculations!$E$4,K8+(K8*M9))</f>
        <v>0</v>
      </c>
      <c r="L9" s="60">
        <f>IF(AND(H9&gt;=Year_Open_to_Traffic?, Calculations!H9&lt;Year_Open_to_Traffic?+'Inputs &amp; Outputs'!B$21), 1, 0)</f>
        <v>0</v>
      </c>
      <c r="M9" s="81">
        <f t="shared" si="5"/>
        <v>3.4129974128465523E-2</v>
      </c>
      <c r="N9" s="87">
        <f t="shared" si="6"/>
        <v>0.32415571873179022</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0.71506582155046317</v>
      </c>
      <c r="F10" s="28"/>
      <c r="H10" s="59">
        <f t="shared" si="3"/>
        <v>2024</v>
      </c>
      <c r="I10" s="97">
        <f t="shared" si="10"/>
        <v>6875.3446644771129</v>
      </c>
      <c r="J10" s="60">
        <f t="shared" si="4"/>
        <v>0</v>
      </c>
      <c r="K10" s="60">
        <f>IF(H10=Year_Open_to_Traffic?,Calculations!$E$4,K9+(K9*M10))</f>
        <v>0</v>
      </c>
      <c r="L10" s="60">
        <f>IF(AND(H10&gt;=Year_Open_to_Traffic?, Calculations!H10&lt;Year_Open_to_Traffic?+'Inputs &amp; Outputs'!B$21), 1, 0)</f>
        <v>0</v>
      </c>
      <c r="M10" s="81">
        <f t="shared" si="5"/>
        <v>3.4129974128465523E-2</v>
      </c>
      <c r="N10" s="87">
        <f t="shared" si="6"/>
        <v>0.33521914502570038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3.4129974128465523E-2</v>
      </c>
      <c r="F11" s="28"/>
      <c r="H11" s="15">
        <f t="shared" si="3"/>
        <v>2025</v>
      </c>
      <c r="I11" s="97">
        <f t="shared" si="10"/>
        <v>7110</v>
      </c>
      <c r="J11" s="60">
        <f t="shared" si="4"/>
        <v>210232.9411764706</v>
      </c>
      <c r="K11" s="60">
        <f>IF(H11=Year_Open_to_Traffic?,Calculations!$E$4,K10+(K10*M11))</f>
        <v>201681.09272183449</v>
      </c>
      <c r="L11" s="60">
        <f>IF(AND(H11&gt;=Year_Open_to_Traffic?, Calculations!H11&lt;Year_Open_to_Traffic?+'Inputs &amp; Outputs'!B$21), 1, 0)</f>
        <v>1</v>
      </c>
      <c r="M11" s="81">
        <f t="shared" si="5"/>
        <v>3.4129974128465523E-2</v>
      </c>
      <c r="N11" s="87">
        <f t="shared" si="6"/>
        <v>0.34666016577279385</v>
      </c>
      <c r="O11" s="88">
        <f t="shared" si="7"/>
        <v>1</v>
      </c>
      <c r="P11" s="84">
        <f t="shared" si="8"/>
        <v>8551.8484546361142</v>
      </c>
      <c r="Q11" s="85">
        <f t="shared" si="0"/>
        <v>1</v>
      </c>
      <c r="R11" s="86">
        <f t="shared" si="1"/>
        <v>20.787565583925574</v>
      </c>
      <c r="S11" s="94">
        <f t="shared" si="2"/>
        <v>247.10323375421169</v>
      </c>
      <c r="T11" s="80">
        <f t="shared" si="9"/>
        <v>153.8834750392831</v>
      </c>
      <c r="W11" s="73"/>
    </row>
    <row r="12" spans="1:24" x14ac:dyDescent="0.25">
      <c r="A12" s="18" t="s">
        <v>205</v>
      </c>
      <c r="B12" s="19">
        <v>0.45</v>
      </c>
      <c r="D12" s="18" t="s">
        <v>83</v>
      </c>
      <c r="E12" s="46">
        <f>(E10/E9)^(1/(2045-2025))-1</f>
        <v>3.6864735330737641E-2</v>
      </c>
      <c r="F12" s="28"/>
      <c r="H12" s="59">
        <v>2026</v>
      </c>
      <c r="I12" s="97">
        <f t="shared" si="10"/>
        <v>7372.1082682015449</v>
      </c>
      <c r="J12" s="60">
        <f t="shared" si="4"/>
        <v>217983.12291074372</v>
      </c>
      <c r="K12" s="60">
        <f>IF(H12=Year_Open_to_Traffic?,Calculations!$E$4,K11+(K11*M12))</f>
        <v>209116.01282623888</v>
      </c>
      <c r="L12" s="60">
        <f>IF(AND(H12&gt;=Year_Open_to_Traffic?, Calculations!H12&lt;Year_Open_to_Traffic?+'Inputs &amp; Outputs'!B$21), 1, 0)</f>
        <v>1</v>
      </c>
      <c r="M12" s="81">
        <f t="shared" ref="M12:M36" si="11">IFERROR(_2025_2045_Demand_Growth,_2018_2045_Demand_Growth)</f>
        <v>3.6864735330737641E-2</v>
      </c>
      <c r="N12" s="87">
        <f t="shared" ref="N12:N36" si="12">N11*(1+IFERROR(_2025_2045_V_C_Growth,_2018_2045_V_C_Growth))</f>
        <v>0.35943970103371753</v>
      </c>
      <c r="O12" s="88">
        <f t="shared" si="7"/>
        <v>1</v>
      </c>
      <c r="P12" s="84">
        <f t="shared" si="8"/>
        <v>8867.1100845048495</v>
      </c>
      <c r="Q12" s="85">
        <f t="shared" si="0"/>
        <v>1</v>
      </c>
      <c r="R12" s="86">
        <f t="shared" si="1"/>
        <v>21.265679592355859</v>
      </c>
      <c r="S12" s="94">
        <f t="shared" si="2"/>
        <v>262.10551953444633</v>
      </c>
      <c r="T12" s="80">
        <f t="shared" si="9"/>
        <v>152.54779872579729</v>
      </c>
      <c r="W12" s="73"/>
    </row>
    <row r="13" spans="1:24" x14ac:dyDescent="0.25">
      <c r="A13" s="18" t="s">
        <v>206</v>
      </c>
      <c r="B13" s="19">
        <v>0.43</v>
      </c>
      <c r="D13" s="18" t="s">
        <v>84</v>
      </c>
      <c r="E13" s="46">
        <f>(E10/E8)^(1/(2045-2018))-1</f>
        <v>3.6155029497726865E-2</v>
      </c>
      <c r="F13" s="28"/>
      <c r="H13" s="15">
        <f t="shared" si="3"/>
        <v>2027</v>
      </c>
      <c r="I13" s="97">
        <f t="shared" si="10"/>
        <v>7643.8790883383372</v>
      </c>
      <c r="J13" s="60">
        <f t="shared" si="4"/>
        <v>226019.01304341594</v>
      </c>
      <c r="K13" s="60">
        <f>IF(H13=Year_Open_to_Traffic?,Calculations!$E$4,K12+(K12*M13))</f>
        <v>216825.01929249731</v>
      </c>
      <c r="L13" s="60">
        <f>IF(AND(H13&gt;=Year_Open_to_Traffic?, Calculations!H13&lt;Year_Open_to_Traffic?+'Inputs &amp; Outputs'!B$21), 1, 0)</f>
        <v>1</v>
      </c>
      <c r="M13" s="81">
        <f t="shared" si="11"/>
        <v>3.6864735330737641E-2</v>
      </c>
      <c r="N13" s="87">
        <f t="shared" si="12"/>
        <v>0.37269035047968502</v>
      </c>
      <c r="O13" s="88">
        <f t="shared" si="7"/>
        <v>1</v>
      </c>
      <c r="P13" s="84">
        <f t="shared" si="8"/>
        <v>9193.9937509186275</v>
      </c>
      <c r="Q13" s="85">
        <f t="shared" si="0"/>
        <v>1</v>
      </c>
      <c r="R13" s="86">
        <f t="shared" si="1"/>
        <v>21.754790222980041</v>
      </c>
      <c r="S13" s="94">
        <f t="shared" si="2"/>
        <v>278.01863345404757</v>
      </c>
      <c r="T13" s="80">
        <f t="shared" si="9"/>
        <v>151.22371580279051</v>
      </c>
      <c r="W13" s="73"/>
    </row>
    <row r="14" spans="1:24" x14ac:dyDescent="0.25">
      <c r="H14" s="59">
        <f>H13+1</f>
        <v>2028</v>
      </c>
      <c r="I14" s="97">
        <f t="shared" si="10"/>
        <v>7925.6686678300903</v>
      </c>
      <c r="J14" s="60">
        <f t="shared" si="4"/>
        <v>234351.144138976</v>
      </c>
      <c r="K14" s="60">
        <f>IF(H14=Year_Open_to_Traffic?,Calculations!$E$4,K13+(K13*M14))</f>
        <v>224818.21624179732</v>
      </c>
      <c r="L14" s="60">
        <f>IF(AND(H14&gt;=Year_Open_to_Traffic?, Calculations!H14&lt;Year_Open_to_Traffic?+'Inputs &amp; Outputs'!B$21), 1, 0)</f>
        <v>1</v>
      </c>
      <c r="M14" s="81">
        <f t="shared" si="11"/>
        <v>3.6864735330737641E-2</v>
      </c>
      <c r="N14" s="87">
        <f t="shared" si="12"/>
        <v>0.38642948161043844</v>
      </c>
      <c r="O14" s="88">
        <f t="shared" si="7"/>
        <v>1</v>
      </c>
      <c r="P14" s="84">
        <f t="shared" si="8"/>
        <v>9532.9278971786844</v>
      </c>
      <c r="Q14" s="85">
        <f t="shared" si="0"/>
        <v>1</v>
      </c>
      <c r="R14" s="86">
        <f t="shared" si="1"/>
        <v>22.255150398108579</v>
      </c>
      <c r="S14" s="94">
        <f t="shared" si="2"/>
        <v>294.89787427959078</v>
      </c>
      <c r="T14" s="80">
        <f t="shared" si="9"/>
        <v>149.91112564206298</v>
      </c>
      <c r="W14" s="73"/>
    </row>
    <row r="15" spans="1:24" x14ac:dyDescent="0.25">
      <c r="H15" s="15">
        <f t="shared" si="3"/>
        <v>2029</v>
      </c>
      <c r="I15" s="97">
        <f t="shared" si="10"/>
        <v>8217.8463455887668</v>
      </c>
      <c r="J15" s="60">
        <f t="shared" si="4"/>
        <v>242990.43704211491</v>
      </c>
      <c r="K15" s="60">
        <f>IF(H15=Year_Open_to_Traffic?,Calculations!$E$4,K14+(K14*M15))</f>
        <v>233106.08028107972</v>
      </c>
      <c r="L15" s="60">
        <f>IF(AND(H15&gt;=Year_Open_to_Traffic?, Calculations!H15&lt;Year_Open_to_Traffic?+'Inputs &amp; Outputs'!B$21), 1, 0)</f>
        <v>1</v>
      </c>
      <c r="M15" s="81">
        <f t="shared" si="11"/>
        <v>3.6864735330737641E-2</v>
      </c>
      <c r="N15" s="87">
        <f t="shared" si="12"/>
        <v>0.40067510217400143</v>
      </c>
      <c r="O15" s="88">
        <f t="shared" si="7"/>
        <v>1</v>
      </c>
      <c r="P15" s="84">
        <f t="shared" si="8"/>
        <v>9884.3567610351893</v>
      </c>
      <c r="Q15" s="85">
        <f t="shared" si="0"/>
        <v>1</v>
      </c>
      <c r="R15" s="86">
        <f t="shared" si="1"/>
        <v>22.767018857265079</v>
      </c>
      <c r="S15" s="94">
        <f t="shared" si="2"/>
        <v>312.80189811088894</v>
      </c>
      <c r="T15" s="80">
        <f t="shared" si="9"/>
        <v>148.6099284888472</v>
      </c>
      <c r="W15" s="73"/>
    </row>
    <row r="16" spans="1:24" x14ac:dyDescent="0.25">
      <c r="H16" s="59">
        <f t="shared" si="3"/>
        <v>2030</v>
      </c>
      <c r="I16" s="97">
        <f t="shared" si="10"/>
        <v>8520.7950761075663</v>
      </c>
      <c r="J16" s="60">
        <f t="shared" si="4"/>
        <v>251948.21519157273</v>
      </c>
      <c r="K16" s="60">
        <f>IF(H16=Year_Open_to_Traffic?,Calculations!$E$4,K15+(K15*M16))</f>
        <v>241699.47423462741</v>
      </c>
      <c r="L16" s="60">
        <f>IF(AND(H16&gt;=Year_Open_to_Traffic?, Calculations!H16&lt;Year_Open_to_Traffic?+'Inputs &amp; Outputs'!B$21), 1, 0)</f>
        <v>1</v>
      </c>
      <c r="M16" s="81">
        <f t="shared" si="11"/>
        <v>3.6864735330737641E-2</v>
      </c>
      <c r="N16" s="87">
        <f t="shared" si="12"/>
        <v>0.41544588376926228</v>
      </c>
      <c r="O16" s="88">
        <f t="shared" si="7"/>
        <v>1</v>
      </c>
      <c r="P16" s="84">
        <f t="shared" si="8"/>
        <v>10248.740956945316</v>
      </c>
      <c r="Q16" s="85">
        <f t="shared" si="0"/>
        <v>1</v>
      </c>
      <c r="R16" s="86">
        <f t="shared" si="1"/>
        <v>23.290660290982171</v>
      </c>
      <c r="S16" s="94">
        <f t="shared" si="2"/>
        <v>331.79292221349954</v>
      </c>
      <c r="T16" s="80">
        <f t="shared" si="9"/>
        <v>147.3200254542248</v>
      </c>
      <c r="W16" s="73"/>
    </row>
    <row r="17" spans="1:23" x14ac:dyDescent="0.25">
      <c r="A17" s="29"/>
      <c r="H17" s="15">
        <f t="shared" si="3"/>
        <v>2031</v>
      </c>
      <c r="I17" s="97">
        <f t="shared" si="10"/>
        <v>8834.9119313957235</v>
      </c>
      <c r="J17" s="60">
        <f t="shared" si="4"/>
        <v>261236.21946166179</v>
      </c>
      <c r="K17" s="60">
        <f>IF(H17=Year_Open_to_Traffic?,Calculations!$E$4,K16+(K16*M17))</f>
        <v>250609.66138186539</v>
      </c>
      <c r="L17" s="60">
        <f>IF(AND(H17&gt;=Year_Open_to_Traffic?, Calculations!H17&lt;Year_Open_to_Traffic?+'Inputs &amp; Outputs'!B$21), 1, 0)</f>
        <v>1</v>
      </c>
      <c r="M17" s="81">
        <f t="shared" si="11"/>
        <v>3.6864735330737641E-2</v>
      </c>
      <c r="N17" s="87">
        <f t="shared" si="12"/>
        <v>0.43076118631866051</v>
      </c>
      <c r="O17" s="88">
        <f t="shared" si="7"/>
        <v>1</v>
      </c>
      <c r="P17" s="84">
        <f t="shared" si="8"/>
        <v>10626.558079796407</v>
      </c>
      <c r="Q17" s="85">
        <f t="shared" si="0"/>
        <v>1</v>
      </c>
      <c r="R17" s="86">
        <f t="shared" si="1"/>
        <v>23.82634547767476</v>
      </c>
      <c r="S17" s="94">
        <f t="shared" si="2"/>
        <v>351.93694122644933</v>
      </c>
      <c r="T17" s="80">
        <f t="shared" si="9"/>
        <v>146.04131850761425</v>
      </c>
      <c r="W17" s="73"/>
    </row>
    <row r="18" spans="1:23" x14ac:dyDescent="0.25">
      <c r="H18" s="59">
        <f t="shared" si="3"/>
        <v>2032</v>
      </c>
      <c r="I18" s="97">
        <f t="shared" si="10"/>
        <v>9160.6086214170027</v>
      </c>
      <c r="J18" s="60">
        <f t="shared" si="4"/>
        <v>270866.62355091842</v>
      </c>
      <c r="K18" s="60">
        <f>IF(H18=Year_Open_to_Traffic?,Calculations!$E$4,K17+(K17*M18))</f>
        <v>259848.32022003364</v>
      </c>
      <c r="L18" s="60">
        <f>IF(AND(H18&gt;=Year_Open_to_Traffic?, Calculations!H18&lt;Year_Open_to_Traffic?+'Inputs &amp; Outputs'!B$21), 1, 0)</f>
        <v>1</v>
      </c>
      <c r="M18" s="81">
        <f t="shared" si="11"/>
        <v>3.6864735330737641E-2</v>
      </c>
      <c r="N18" s="87">
        <f t="shared" si="12"/>
        <v>0.44664108344305248</v>
      </c>
      <c r="O18" s="88">
        <f t="shared" si="7"/>
        <v>1</v>
      </c>
      <c r="P18" s="84">
        <f t="shared" si="8"/>
        <v>11018.303330884781</v>
      </c>
      <c r="Q18" s="85">
        <f t="shared" si="0"/>
        <v>1</v>
      </c>
      <c r="R18" s="86">
        <f t="shared" si="1"/>
        <v>24.374351423661277</v>
      </c>
      <c r="S18" s="94">
        <f t="shared" si="2"/>
        <v>373.3039564964817</v>
      </c>
      <c r="T18" s="80">
        <f t="shared" si="9"/>
        <v>144.77371046931702</v>
      </c>
      <c r="W18" s="73"/>
    </row>
    <row r="19" spans="1:23" x14ac:dyDescent="0.25">
      <c r="H19" s="15">
        <f t="shared" si="3"/>
        <v>2033</v>
      </c>
      <c r="I19" s="97">
        <f t="shared" si="10"/>
        <v>9498.3120337140135</v>
      </c>
      <c r="J19" s="60">
        <f t="shared" si="4"/>
        <v>280852.04993805359</v>
      </c>
      <c r="K19" s="60">
        <f>IF(H19=Year_Open_to_Traffic?,Calculations!$E$4,K18+(K18*M19))</f>
        <v>269427.55977108196</v>
      </c>
      <c r="L19" s="60">
        <f>IF(AND(H19&gt;=Year_Open_to_Traffic?, Calculations!H19&lt;Year_Open_to_Traffic?+'Inputs &amp; Outputs'!B$21), 1, 0)</f>
        <v>1</v>
      </c>
      <c r="M19" s="81">
        <f t="shared" si="11"/>
        <v>3.6864735330737641E-2</v>
      </c>
      <c r="N19" s="87">
        <f t="shared" si="12"/>
        <v>0.46310638877201449</v>
      </c>
      <c r="O19" s="88">
        <f t="shared" si="7"/>
        <v>1</v>
      </c>
      <c r="P19" s="84">
        <f t="shared" si="8"/>
        <v>11424.490166971635</v>
      </c>
      <c r="Q19" s="85">
        <f t="shared" si="0"/>
        <v>1</v>
      </c>
      <c r="R19" s="86">
        <f t="shared" si="1"/>
        <v>24.934961506405479</v>
      </c>
      <c r="S19" s="94">
        <f t="shared" si="2"/>
        <v>395.9682193358064</v>
      </c>
      <c r="T19" s="80">
        <f t="shared" si="9"/>
        <v>143.51710500313587</v>
      </c>
      <c r="W19" s="73"/>
    </row>
    <row r="20" spans="1:23" x14ac:dyDescent="0.25">
      <c r="H20" s="59">
        <f t="shared" si="3"/>
        <v>2034</v>
      </c>
      <c r="I20" s="97">
        <f t="shared" si="10"/>
        <v>9848.4647929256407</v>
      </c>
      <c r="J20" s="60">
        <f t="shared" si="4"/>
        <v>291205.58642611507</v>
      </c>
      <c r="K20" s="60">
        <f>IF(H20=Year_Open_to_Traffic?,Calculations!$E$4,K19+(K19*M20))</f>
        <v>279359.93545284937</v>
      </c>
      <c r="L20" s="60">
        <f>IF(AND(H20&gt;=Year_Open_to_Traffic?, Calculations!H20&lt;Year_Open_to_Traffic?+'Inputs &amp; Outputs'!B$21), 1, 0)</f>
        <v>1</v>
      </c>
      <c r="M20" s="81">
        <f t="shared" si="11"/>
        <v>3.6864735330737641E-2</v>
      </c>
      <c r="N20" s="87">
        <f t="shared" si="12"/>
        <v>0.48017868322406848</v>
      </c>
      <c r="O20" s="88">
        <f t="shared" si="7"/>
        <v>1</v>
      </c>
      <c r="P20" s="84">
        <f t="shared" si="8"/>
        <v>11845.6509732657</v>
      </c>
      <c r="Q20" s="85">
        <f t="shared" si="0"/>
        <v>1</v>
      </c>
      <c r="R20" s="86">
        <f t="shared" si="1"/>
        <v>25.508465621052807</v>
      </c>
      <c r="S20" s="94">
        <f t="shared" si="2"/>
        <v>420.00848904864893</v>
      </c>
      <c r="T20" s="80">
        <f t="shared" si="9"/>
        <v>142.27140660905087</v>
      </c>
      <c r="W20" s="73"/>
    </row>
    <row r="21" spans="1:23" x14ac:dyDescent="0.25">
      <c r="H21" s="15">
        <f t="shared" si="3"/>
        <v>2035</v>
      </c>
      <c r="I21" s="97">
        <f t="shared" si="10"/>
        <v>10211.525840930932</v>
      </c>
      <c r="J21" s="60">
        <f t="shared" si="4"/>
        <v>301940.80329654604</v>
      </c>
      <c r="K21" s="60">
        <f>IF(H21=Year_Open_to_Traffic?,Calculations!$E$4,K20+(K20*M21))</f>
        <v>289658.46553533059</v>
      </c>
      <c r="L21" s="60">
        <f>IF(AND(H21&gt;=Year_Open_to_Traffic?, Calculations!H21&lt;Year_Open_to_Traffic?+'Inputs &amp; Outputs'!B$21), 1, 0)</f>
        <v>1</v>
      </c>
      <c r="M21" s="81">
        <f t="shared" si="11"/>
        <v>3.6864735330737641E-2</v>
      </c>
      <c r="N21" s="87">
        <f t="shared" si="12"/>
        <v>0.4978803432925859</v>
      </c>
      <c r="O21" s="88">
        <f t="shared" si="7"/>
        <v>1</v>
      </c>
      <c r="P21" s="84">
        <f t="shared" si="8"/>
        <v>12282.337761215458</v>
      </c>
      <c r="Q21" s="85">
        <f t="shared" si="0"/>
        <v>1</v>
      </c>
      <c r="R21" s="86">
        <f t="shared" si="1"/>
        <v>26.095160330337016</v>
      </c>
      <c r="S21" s="94">
        <f t="shared" si="2"/>
        <v>445.5083066232753</v>
      </c>
      <c r="T21" s="80">
        <f t="shared" si="9"/>
        <v>141.03652061596128</v>
      </c>
      <c r="W21" s="73"/>
    </row>
    <row r="22" spans="1:23" x14ac:dyDescent="0.25">
      <c r="H22" s="59">
        <f>H21+1</f>
        <v>2036</v>
      </c>
      <c r="I22" s="97">
        <f t="shared" si="10"/>
        <v>10587.971038379839</v>
      </c>
      <c r="J22" s="60">
        <f t="shared" si="4"/>
        <v>313071.77109562355</v>
      </c>
      <c r="K22" s="60">
        <f>IF(H22=Year_Open_to_Traffic?,Calculations!$E$4,K21+(K21*M22))</f>
        <v>300336.64820359816</v>
      </c>
      <c r="L22" s="60">
        <f>IF(AND(H22&gt;=Year_Open_to_Traffic?, Calculations!H22&lt;Year_Open_to_Traffic?+'Inputs &amp; Outputs'!B$21), 1, 0)</f>
        <v>1</v>
      </c>
      <c r="M22" s="81">
        <f t="shared" si="11"/>
        <v>3.6864735330737641E-2</v>
      </c>
      <c r="N22" s="87">
        <f t="shared" si="12"/>
        <v>0.51623457037444387</v>
      </c>
      <c r="O22" s="88">
        <f t="shared" si="7"/>
        <v>1</v>
      </c>
      <c r="P22" s="84">
        <f t="shared" si="8"/>
        <v>12735.122892025393</v>
      </c>
      <c r="Q22" s="85">
        <f t="shared" si="0"/>
        <v>1</v>
      </c>
      <c r="R22" s="86">
        <f t="shared" si="1"/>
        <v>26.695349017934767</v>
      </c>
      <c r="S22" s="94">
        <f t="shared" si="2"/>
        <v>472.55628504058302</v>
      </c>
      <c r="T22" s="80">
        <f t="shared" si="9"/>
        <v>139.81235317449239</v>
      </c>
      <c r="W22" s="73"/>
    </row>
    <row r="23" spans="1:23" x14ac:dyDescent="0.25">
      <c r="H23" s="15">
        <f t="shared" si="3"/>
        <v>2037</v>
      </c>
      <c r="I23" s="97">
        <f t="shared" si="10"/>
        <v>10978.293788399227</v>
      </c>
      <c r="J23" s="60">
        <f t="shared" si="4"/>
        <v>324613.07907658897</v>
      </c>
      <c r="K23" s="60">
        <f>IF(H23=Year_Open_to_Traffic?,Calculations!$E$4,K22+(K22*M23))</f>
        <v>311408.47924974468</v>
      </c>
      <c r="L23" s="60">
        <f>IF(AND(H23&gt;=Year_Open_to_Traffic?, Calculations!H23&lt;Year_Open_to_Traffic?+'Inputs &amp; Outputs'!B$21), 1, 0)</f>
        <v>1</v>
      </c>
      <c r="M23" s="81">
        <f t="shared" si="11"/>
        <v>3.6864735330737641E-2</v>
      </c>
      <c r="N23" s="87">
        <f t="shared" si="12"/>
        <v>0.53526542117987475</v>
      </c>
      <c r="O23" s="88">
        <f t="shared" si="7"/>
        <v>1</v>
      </c>
      <c r="P23" s="84">
        <f t="shared" si="8"/>
        <v>13204.599826844293</v>
      </c>
      <c r="Q23" s="85">
        <f t="shared" si="0"/>
        <v>1</v>
      </c>
      <c r="R23" s="86">
        <f t="shared" si="1"/>
        <v>27.309342045347261</v>
      </c>
      <c r="S23" s="94">
        <f t="shared" si="2"/>
        <v>501.24641720808137</v>
      </c>
      <c r="T23" s="80">
        <f t="shared" si="9"/>
        <v>138.59881124986234</v>
      </c>
      <c r="W23" s="73"/>
    </row>
    <row r="24" spans="1:23" x14ac:dyDescent="0.25">
      <c r="H24" s="59">
        <f t="shared" si="3"/>
        <v>2038</v>
      </c>
      <c r="I24" s="97">
        <f t="shared" si="10"/>
        <v>11383.005683291645</v>
      </c>
      <c r="J24" s="60">
        <f t="shared" si="4"/>
        <v>336579.85432164324</v>
      </c>
      <c r="K24" s="60">
        <f>IF(H24=Year_Open_to_Traffic?,Calculations!$E$4,K23+(K23*M24))</f>
        <v>322888.470417034</v>
      </c>
      <c r="L24" s="60">
        <f>IF(AND(H24&gt;=Year_Open_to_Traffic?, Calculations!H24&lt;Year_Open_to_Traffic?+'Inputs &amp; Outputs'!B$21), 1, 0)</f>
        <v>1</v>
      </c>
      <c r="M24" s="81">
        <f t="shared" si="11"/>
        <v>3.6864735330737641E-2</v>
      </c>
      <c r="N24" s="87">
        <f t="shared" si="12"/>
        <v>0.55499783926336665</v>
      </c>
      <c r="O24" s="88">
        <f t="shared" si="7"/>
        <v>1</v>
      </c>
      <c r="P24" s="84">
        <f>(J24-K24)*L24</f>
        <v>13691.383904609247</v>
      </c>
      <c r="Q24" s="85">
        <f t="shared" si="0"/>
        <v>1</v>
      </c>
      <c r="R24" s="86">
        <f t="shared" si="1"/>
        <v>27.93745691239025</v>
      </c>
      <c r="S24" s="94">
        <f t="shared" si="2"/>
        <v>531.67840258935962</v>
      </c>
      <c r="T24" s="80">
        <f t="shared" si="9"/>
        <v>137.39580261481294</v>
      </c>
      <c r="W24" s="73"/>
    </row>
    <row r="25" spans="1:23" x14ac:dyDescent="0.25">
      <c r="H25" s="15">
        <f t="shared" si="3"/>
        <v>2039</v>
      </c>
      <c r="I25" s="97">
        <f t="shared" si="10"/>
        <v>11802.637175074475</v>
      </c>
      <c r="J25" s="60">
        <f t="shared" si="4"/>
        <v>348987.78156886884</v>
      </c>
      <c r="K25" s="60">
        <f>IF(H25=Year_Open_to_Traffic?,Calculations!$E$4,K24+(K24*M25))</f>
        <v>334791.66842030466</v>
      </c>
      <c r="L25" s="60">
        <f>IF(AND(H25&gt;=Year_Open_to_Traffic?, Calculations!H25&lt;Year_Open_to_Traffic?+'Inputs &amp; Outputs'!B$21), 1, 0)</f>
        <v>1</v>
      </c>
      <c r="M25" s="81">
        <f t="shared" si="11"/>
        <v>3.6864735330737641E-2</v>
      </c>
      <c r="N25" s="87">
        <f t="shared" si="12"/>
        <v>0.57545768771694195</v>
      </c>
      <c r="O25" s="88">
        <f t="shared" si="7"/>
        <v>1</v>
      </c>
      <c r="P25" s="84">
        <f t="shared" si="8"/>
        <v>14196.113148564182</v>
      </c>
      <c r="Q25" s="85">
        <f t="shared" si="0"/>
        <v>1</v>
      </c>
      <c r="R25" s="86">
        <f t="shared" si="1"/>
        <v>28.580018421375218</v>
      </c>
      <c r="S25" s="94">
        <f t="shared" si="2"/>
        <v>563.95799366406879</v>
      </c>
      <c r="T25" s="80">
        <f t="shared" si="9"/>
        <v>136.20323584259694</v>
      </c>
      <c r="W25" s="73"/>
    </row>
    <row r="26" spans="1:23" x14ac:dyDescent="0.25">
      <c r="H26" s="59">
        <f t="shared" si="3"/>
        <v>2040</v>
      </c>
      <c r="I26" s="97">
        <f t="shared" si="10"/>
        <v>12237.73827073832</v>
      </c>
      <c r="J26" s="60">
        <f t="shared" si="4"/>
        <v>361853.12377006648</v>
      </c>
      <c r="K26" s="60">
        <f>IF(H26=Year_Open_to_Traffic?,Calculations!$E$4,K25+(K25*M26))</f>
        <v>347133.67466755526</v>
      </c>
      <c r="L26" s="60">
        <f>IF(AND(H26&gt;=Year_Open_to_Traffic?, Calculations!H26&lt;Year_Open_to_Traffic?+'Inputs &amp; Outputs'!B$21), 1, 0)</f>
        <v>1</v>
      </c>
      <c r="M26" s="81">
        <f t="shared" si="11"/>
        <v>3.6864735330737641E-2</v>
      </c>
      <c r="N26" s="87">
        <f t="shared" si="12"/>
        <v>0.59667178306866531</v>
      </c>
      <c r="O26" s="88">
        <f t="shared" si="7"/>
        <v>1</v>
      </c>
      <c r="P26" s="84">
        <f t="shared" si="8"/>
        <v>14719.449102511222</v>
      </c>
      <c r="Q26" s="85">
        <f t="shared" si="0"/>
        <v>1</v>
      </c>
      <c r="R26" s="86">
        <f t="shared" si="1"/>
        <v>29.237358845066851</v>
      </c>
      <c r="S26" s="94">
        <f t="shared" si="2"/>
        <v>598.19736342242675</v>
      </c>
      <c r="T26" s="80">
        <f t="shared" si="9"/>
        <v>135.021020300034</v>
      </c>
      <c r="W26" s="73"/>
    </row>
    <row r="27" spans="1:23" x14ac:dyDescent="0.25">
      <c r="H27" s="15">
        <f t="shared" si="3"/>
        <v>2041</v>
      </c>
      <c r="I27" s="97">
        <f t="shared" si="10"/>
        <v>12688.879253135927</v>
      </c>
      <c r="J27" s="60">
        <f t="shared" si="4"/>
        <v>375192.74340645061</v>
      </c>
      <c r="K27" s="60">
        <f>IF(H27=Year_Open_to_Traffic?,Calculations!$E$4,K26+(K26*M27))</f>
        <v>359930.66570856108</v>
      </c>
      <c r="L27" s="60">
        <f>IF(AND(H27&gt;=Year_Open_to_Traffic?, Calculations!H27&lt;Year_Open_to_Traffic?+'Inputs &amp; Outputs'!B$21), 1, 0)</f>
        <v>1</v>
      </c>
      <c r="M27" s="81">
        <f t="shared" si="11"/>
        <v>3.6864735330737641E-2</v>
      </c>
      <c r="N27" s="87">
        <f t="shared" si="12"/>
        <v>0.61866793043081092</v>
      </c>
      <c r="O27" s="88">
        <f t="shared" si="7"/>
        <v>1</v>
      </c>
      <c r="P27" s="84">
        <f t="shared" si="8"/>
        <v>15262.07769788953</v>
      </c>
      <c r="Q27" s="85">
        <f t="shared" si="0"/>
        <v>1</v>
      </c>
      <c r="R27" s="86">
        <f t="shared" si="1"/>
        <v>29.909818098503379</v>
      </c>
      <c r="S27" s="94">
        <f t="shared" si="2"/>
        <v>634.51549517125045</v>
      </c>
      <c r="T27" s="80">
        <f t="shared" si="9"/>
        <v>133.84906614061927</v>
      </c>
      <c r="W27" s="73"/>
    </row>
    <row r="28" spans="1:23" x14ac:dyDescent="0.25">
      <c r="H28" s="59">
        <f t="shared" si="3"/>
        <v>2042</v>
      </c>
      <c r="I28" s="97">
        <f t="shared" si="10"/>
        <v>13156.65142844647</v>
      </c>
      <c r="J28" s="60">
        <f t="shared" si="4"/>
        <v>389024.12459014275</v>
      </c>
      <c r="K28" s="60">
        <f>IF(H28=Year_Open_to_Traffic?,Calculations!$E$4,K27+(K27*M28))</f>
        <v>373199.4144373234</v>
      </c>
      <c r="L28" s="60">
        <f>IF(AND(H28&gt;=Year_Open_to_Traffic?, Calculations!H28&lt;Year_Open_to_Traffic?+'Inputs &amp; Outputs'!B$21), 1, 0)</f>
        <v>1</v>
      </c>
      <c r="M28" s="81">
        <f t="shared" si="11"/>
        <v>3.6864735330737641E-2</v>
      </c>
      <c r="N28" s="87">
        <f t="shared" si="12"/>
        <v>0.64147495994375803</v>
      </c>
      <c r="O28" s="88">
        <f t="shared" si="7"/>
        <v>1</v>
      </c>
      <c r="P28" s="84">
        <f t="shared" si="8"/>
        <v>15824.710152819345</v>
      </c>
      <c r="Q28" s="85">
        <f t="shared" si="0"/>
        <v>1</v>
      </c>
      <c r="R28" s="86">
        <f t="shared" si="1"/>
        <v>30.597743914768959</v>
      </c>
      <c r="S28" s="94">
        <f t="shared" si="2"/>
        <v>673.03859600616079</v>
      </c>
      <c r="T28" s="80">
        <f t="shared" si="9"/>
        <v>132.68728429769808</v>
      </c>
      <c r="W28" s="73"/>
    </row>
    <row r="29" spans="1:23" x14ac:dyDescent="0.25">
      <c r="H29" s="15">
        <f t="shared" si="3"/>
        <v>2043</v>
      </c>
      <c r="I29" s="97">
        <f t="shared" si="10"/>
        <v>13641.66790119492</v>
      </c>
      <c r="J29" s="60">
        <f t="shared" si="4"/>
        <v>403365.39598043024</v>
      </c>
      <c r="K29" s="60">
        <f>IF(H29=Year_Open_to_Traffic?,Calculations!$E$4,K28+(K28*M29))</f>
        <v>386957.31207614159</v>
      </c>
      <c r="L29" s="60">
        <f>IF(AND(H29&gt;=Year_Open_to_Traffic?, Calculations!H29&lt;Year_Open_to_Traffic?+'Inputs &amp; Outputs'!B$21), 1, 0)</f>
        <v>1</v>
      </c>
      <c r="M29" s="81">
        <f t="shared" si="11"/>
        <v>3.6864735330737641E-2</v>
      </c>
      <c r="N29" s="87">
        <f t="shared" si="12"/>
        <v>0.66512276456338015</v>
      </c>
      <c r="O29" s="88">
        <f t="shared" si="7"/>
        <v>1</v>
      </c>
      <c r="P29" s="84">
        <f t="shared" si="8"/>
        <v>16408.083904288651</v>
      </c>
      <c r="Q29" s="85">
        <f t="shared" si="0"/>
        <v>1</v>
      </c>
      <c r="R29" s="86">
        <f t="shared" si="1"/>
        <v>31.301492024808638</v>
      </c>
      <c r="S29" s="94">
        <f t="shared" si="2"/>
        <v>713.90053538675022</v>
      </c>
      <c r="T29" s="80">
        <f t="shared" si="9"/>
        <v>131.5355864776952</v>
      </c>
      <c r="W29" s="73"/>
    </row>
    <row r="30" spans="1:23" x14ac:dyDescent="0.25">
      <c r="H30" s="15">
        <f t="shared" si="3"/>
        <v>2044</v>
      </c>
      <c r="I30" s="97">
        <f t="shared" si="10"/>
        <v>14144.564377842289</v>
      </c>
      <c r="J30" s="60">
        <f t="shared" si="4"/>
        <v>418235.35454482702</v>
      </c>
      <c r="K30" s="60">
        <f>IF(H30=Year_Open_to_Traffic?,Calculations!$E$4,K29+(K29*M30))</f>
        <v>401222.39097012219</v>
      </c>
      <c r="L30" s="60">
        <f>IF(AND(H30&gt;=Year_Open_to_Traffic?, Calculations!H30&lt;Year_Open_to_Traffic?+'Inputs &amp; Outputs'!B$21), 1, 0)</f>
        <v>1</v>
      </c>
      <c r="M30" s="81">
        <f t="shared" si="11"/>
        <v>3.6864735330737641E-2</v>
      </c>
      <c r="N30" s="87">
        <f t="shared" si="12"/>
        <v>0.68964233924145768</v>
      </c>
      <c r="O30" s="88">
        <f t="shared" si="7"/>
        <v>1</v>
      </c>
      <c r="P30" s="84">
        <f t="shared" si="8"/>
        <v>17012.963574704831</v>
      </c>
      <c r="Q30" s="85">
        <f t="shared" si="0"/>
        <v>1</v>
      </c>
      <c r="R30" s="86">
        <f t="shared" si="1"/>
        <v>32.021426341379232</v>
      </c>
      <c r="S30" s="94">
        <f t="shared" si="2"/>
        <v>757.24331033881015</v>
      </c>
      <c r="T30" s="80">
        <f t="shared" si="9"/>
        <v>130.39388515340542</v>
      </c>
      <c r="W30" s="73"/>
    </row>
    <row r="31" spans="1:23" x14ac:dyDescent="0.25">
      <c r="H31" s="15">
        <f t="shared" si="3"/>
        <v>2045</v>
      </c>
      <c r="I31" s="97">
        <f t="shared" si="10"/>
        <v>14666.000000000025</v>
      </c>
      <c r="J31" s="60">
        <f t="shared" si="4"/>
        <v>433653.49019607931</v>
      </c>
      <c r="K31" s="60">
        <f>IF(H31=Year_Open_to_Traffic?,Calculations!$E$4,K30+(K30*M31))</f>
        <v>416013.34822200146</v>
      </c>
      <c r="L31" s="60">
        <f>IF(AND(H31&gt;=Year_Open_to_Traffic?, Calculations!H31&lt;Year_Open_to_Traffic?+'Inputs &amp; Outputs'!B$21), 1, 0)</f>
        <v>0</v>
      </c>
      <c r="M31" s="81">
        <f t="shared" si="11"/>
        <v>3.6864735330737641E-2</v>
      </c>
      <c r="N31" s="87">
        <f t="shared" si="12"/>
        <v>0.71506582155046483</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15206.658208360624</v>
      </c>
      <c r="J32" s="60">
        <f t="shared" si="4"/>
        <v>449640.01133740839</v>
      </c>
      <c r="K32" s="60">
        <f>IF(H32=Year_Open_to_Traffic?,Calculations!$E$4,K31+(K31*M32))</f>
        <v>431349.57019825955</v>
      </c>
      <c r="L32" s="60">
        <f>IF(AND(H32&gt;=Year_Open_to_Traffic?, Calculations!H32&lt;Year_Open_to_Traffic?+'Inputs &amp; Outputs'!B$21), 1, 0)</f>
        <v>0</v>
      </c>
      <c r="M32" s="81">
        <f t="shared" si="11"/>
        <v>3.6864735330737641E-2</v>
      </c>
      <c r="N32" s="87">
        <f t="shared" si="12"/>
        <v>0.74142653380597923</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15767.247638476829</v>
      </c>
      <c r="J33" s="60">
        <f t="shared" si="4"/>
        <v>466215.8713494718</v>
      </c>
      <c r="K33" s="60">
        <f>IF(H33=Year_Open_to_Traffic?,Calculations!$E$4,K32+(K32*M33))</f>
        <v>447251.1579386458</v>
      </c>
      <c r="L33" s="60">
        <f>IF(AND(H33&gt;=Year_Open_to_Traffic?, Calculations!H33&lt;Year_Open_to_Traffic?+'Inputs &amp; Outputs'!B$21), 1, 0)</f>
        <v>0</v>
      </c>
      <c r="M33" s="81">
        <f t="shared" si="11"/>
        <v>3.6864735330737641E-2</v>
      </c>
      <c r="N33" s="87">
        <f t="shared" si="12"/>
        <v>0.76875902674192287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16348.503049563475</v>
      </c>
      <c r="J34" s="60">
        <f t="shared" si="4"/>
        <v>483402.79605375929</v>
      </c>
      <c r="K34" s="60">
        <f>IF(H34=Year_Open_to_Traffic?,Calculations!$E$4,K33+(K33*M34))</f>
        <v>463738.95350241993</v>
      </c>
      <c r="L34" s="60">
        <f>IF(AND(H34&gt;=Year_Open_to_Traffic?, Calculations!H34&lt;Year_Open_to_Traffic?+'Inputs &amp; Outputs'!B$21), 1, 0)</f>
        <v>0</v>
      </c>
      <c r="M34" s="81">
        <f t="shared" si="11"/>
        <v>3.6864735330737641E-2</v>
      </c>
      <c r="N34" s="87">
        <f t="shared" si="12"/>
        <v>0.7970991247958793</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16951.186287539389</v>
      </c>
      <c r="J35" s="60">
        <f t="shared" si="4"/>
        <v>501223.31218841969</v>
      </c>
      <c r="K35" s="60">
        <f>IF(H35=Year_Open_to_Traffic?,Calculations!$E$4,K34+(K34*M35))</f>
        <v>480834.56728583988</v>
      </c>
      <c r="L35" s="60">
        <f>IF(AND(H35&gt;=Year_Open_to_Traffic?, Calculations!H35&lt;Year_Open_to_Traffic?+'Inputs &amp; Outputs'!B$21), 1, 0)</f>
        <v>0</v>
      </c>
      <c r="M35" s="81">
        <f t="shared" si="11"/>
        <v>3.6864735330737641E-2</v>
      </c>
      <c r="N35" s="87">
        <f t="shared" si="12"/>
        <v>0.82648397306384203</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17576.087283571556</v>
      </c>
      <c r="J36" s="60">
        <f t="shared" si="4"/>
        <v>519700.77693384147</v>
      </c>
      <c r="K36" s="60">
        <f>IF(H36=Year_Open_to_Traffic?,Calculations!$E$4,K35+(K35*M36))</f>
        <v>498560.40634670213</v>
      </c>
      <c r="L36" s="60">
        <f>IF(AND(H36&gt;=Year_Open_to_Traffic?, Calculations!H36&lt;Year_Open_to_Traffic?+'Inputs &amp; Outputs'!B$21), 1, 0)</f>
        <v>0</v>
      </c>
      <c r="M36" s="81">
        <f t="shared" si="11"/>
        <v>3.6864735330737641E-2</v>
      </c>
      <c r="N36" s="87">
        <f t="shared" si="12"/>
        <v>0.85695208598593708</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2836.6331756093018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2018-10-17T20:55:42Z</cp:lastPrinted>
  <dcterms:created xsi:type="dcterms:W3CDTF">2012-07-25T15:48:32Z</dcterms:created>
  <dcterms:modified xsi:type="dcterms:W3CDTF">2018-10-24T14:50:10Z</dcterms:modified>
</cp:coreProperties>
</file>