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5. SH 146 Access Management\"/>
    </mc:Choice>
  </mc:AlternateContent>
  <xr:revisionPtr revIDLastSave="0" documentId="13_ncr:1_{C6FFF027-A624-472F-A5E5-1484ED5D40DD}" xr6:coauthVersionLast="36" xr6:coauthVersionMax="36"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s="1"/>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c r="J24" i="7" s="1"/>
  <c r="G25" i="7"/>
  <c r="S26" i="12"/>
  <c r="P27" i="12"/>
  <c r="Q26" i="12"/>
  <c r="M27" i="12"/>
  <c r="T7" i="12" l="1"/>
  <c r="U7" i="12" s="1"/>
  <c r="H25" i="7"/>
  <c r="I25" i="7" s="1"/>
  <c r="J25" i="7" s="1"/>
  <c r="G26" i="7"/>
  <c r="S27" i="12"/>
  <c r="P28" i="12"/>
  <c r="Q27" i="12"/>
  <c r="M28" i="12"/>
  <c r="T8" i="12" l="1"/>
  <c r="U8" i="12" s="1"/>
  <c r="G27" i="7"/>
  <c r="H26" i="7"/>
  <c r="I26" i="7" s="1"/>
  <c r="J26" i="7" s="1"/>
  <c r="S28" i="12"/>
  <c r="P29" i="12"/>
  <c r="Q28" i="12"/>
  <c r="M29" i="12"/>
  <c r="T9" i="12" l="1"/>
  <c r="U9" i="12" s="1"/>
  <c r="G28" i="7"/>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17" i="12" l="1"/>
  <c r="D26" i="12" s="1"/>
  <c r="E19" i="12"/>
  <c r="F26" i="12" s="1"/>
  <c r="E22" i="12"/>
  <c r="I26" i="12" s="1"/>
  <c r="E18" i="12"/>
  <c r="E26" i="12" s="1"/>
  <c r="E20" i="12"/>
  <c r="G26" i="12" s="1"/>
  <c r="E21" i="12"/>
  <c r="H26" i="12" s="1"/>
  <c r="S36" i="12"/>
  <c r="P36" i="12"/>
  <c r="Q36" i="12" s="1"/>
  <c r="E32" i="12" l="1"/>
  <c r="E28" i="12"/>
  <c r="E29" i="12"/>
  <c r="E33" i="12"/>
  <c r="E31" i="12"/>
  <c r="E30" i="12"/>
  <c r="E27" i="12"/>
  <c r="I31" i="12"/>
  <c r="I30" i="12"/>
  <c r="I27" i="12"/>
  <c r="I29" i="12"/>
  <c r="I28" i="12"/>
  <c r="I33" i="12"/>
  <c r="I32" i="12"/>
  <c r="H31" i="12"/>
  <c r="H29" i="12"/>
  <c r="H32" i="12"/>
  <c r="H30" i="12"/>
  <c r="H27" i="12"/>
  <c r="H33" i="12"/>
  <c r="H28" i="12"/>
  <c r="F28" i="12"/>
  <c r="F32" i="12"/>
  <c r="F29" i="12"/>
  <c r="F33" i="12"/>
  <c r="F31" i="12"/>
  <c r="F27" i="12"/>
  <c r="F30" i="12"/>
  <c r="G28" i="12"/>
  <c r="G27" i="12"/>
  <c r="G29" i="12"/>
  <c r="G31" i="12"/>
  <c r="G32" i="12"/>
  <c r="G30" i="12"/>
  <c r="G33" i="12"/>
  <c r="D27" i="12"/>
  <c r="J27" i="12" s="1"/>
  <c r="D31" i="12"/>
  <c r="D29" i="12"/>
  <c r="D32" i="12"/>
  <c r="J32" i="12" s="1"/>
  <c r="D28" i="12"/>
  <c r="J28" i="12" s="1"/>
  <c r="D30" i="12"/>
  <c r="D33" i="12"/>
  <c r="J29" i="12" l="1"/>
  <c r="J33" i="12"/>
  <c r="J30" i="12"/>
  <c r="J31" i="12"/>
  <c r="J5" i="12" l="1"/>
  <c r="R10" i="12" s="1"/>
  <c r="R11" i="12" s="1"/>
  <c r="T11" i="12" s="1"/>
  <c r="U11" i="12" s="1"/>
  <c r="T10" i="12" l="1"/>
  <c r="U10" i="12" s="1"/>
  <c r="R12" i="12"/>
  <c r="R13" i="12" s="1"/>
  <c r="T12" i="12" l="1"/>
  <c r="U12" i="12" s="1"/>
  <c r="R14" i="12"/>
  <c r="T13" i="12"/>
  <c r="U13" i="12" s="1"/>
  <c r="R15" i="12" l="1"/>
  <c r="T14" i="12"/>
  <c r="U14" i="12" s="1"/>
  <c r="R16" i="12" l="1"/>
  <c r="T15" i="12"/>
  <c r="U15" i="12" s="1"/>
  <c r="R17" i="12" l="1"/>
  <c r="T16" i="12"/>
  <c r="U16" i="12" s="1"/>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R28" i="12" l="1"/>
  <c r="T27" i="12"/>
  <c r="U27" i="12" s="1"/>
  <c r="R29" i="12" l="1"/>
  <c r="T28" i="12"/>
  <c r="U28" i="12" s="1"/>
  <c r="R30" i="12" l="1"/>
  <c r="T29" i="12"/>
  <c r="U29" i="12" s="1"/>
  <c r="R31" i="12" l="1"/>
  <c r="T30" i="12"/>
  <c r="U30" i="12" s="1"/>
  <c r="R32" i="12" l="1"/>
  <c r="T31" i="12"/>
  <c r="U31" i="12" s="1"/>
  <c r="R33" i="12" l="1"/>
  <c r="T32" i="12"/>
  <c r="U32" i="12" s="1"/>
  <c r="R34" i="12" l="1"/>
  <c r="T33" i="12"/>
  <c r="U33" i="12" s="1"/>
  <c r="R35" i="12" l="1"/>
  <c r="T34" i="12"/>
  <c r="U34" i="12" s="1"/>
  <c r="R36" i="12" l="1"/>
  <c r="T36" i="12" s="1"/>
  <c r="U36" i="12" s="1"/>
  <c r="T35" i="12"/>
  <c r="U35"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<sst xmlns="http://schemas.openxmlformats.org/spreadsheetml/2006/main" count="440" uniqueCount="285">
  <si>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</si>
  <si>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</si>
  <si>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</si>
  <si>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</si>
  <si>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</si>
  <si>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</si>
  <si>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</si>
  <si>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</si>
  <si>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</si>
  <si>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</si>
  <si>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</si>
  <si>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</si>
  <si>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</si>
  <si>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</si>
  <si>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</si>
  <si>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</si>
  <si>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</si>
  <si>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</si>
  <si>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</si>
  <si>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</si>
  <si>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</si>
  <si>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</si>
  <si>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</si>
  <si>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</si>
  <si>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</si>
  <si>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</si>
  <si>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</si>
  <si>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</si>
  <si>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</si>
  <si>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</si>
  <si>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</si>
  <si>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</si>
  <si>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</si>
  <si>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</si>
  <si>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</si>
  <si>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</si>
  <si>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</si>
  <si>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</si>
  <si>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</si>
  <si>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</si>
  <si>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</si>
  <si>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</si>
  <si>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</si>
  <si>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</si>
  <si>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</si>
  <si>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</si>
  <si>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</si>
  <si>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</si>
  <si>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</si>
  <si>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</si>
  <si>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</si>
  <si>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</si>
  <si>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</si>
  <si>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</si>
  <si>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</si>
  <si>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</si>
  <si>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</si>
  <si>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</si>
  <si>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</si>
  <si>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</si>
  <si>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</si>
  <si>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</si>
  <si>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</si>
  <si>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</si>
  <si>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</si>
  <si>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</si>
  <si>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</si>
  <si>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</si>
  <si>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</si>
  <si>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</si>
  <si>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</si>
  <si>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</si>
  <si>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</si>
  <si>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</si>
  <si>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</si>
  <si>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</si>
  <si>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</si>
  <si>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</si>
  <si>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</si>
  <si>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</si>
  <si>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</si>
  <si>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</si>
  <si>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</si>
  <si>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</si>
  <si>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</si>
  <si>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</si>
  <si>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</si>
  <si>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</si>
  <si>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</si>
  <si>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</si>
  <si>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</si>
  <si>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</si>
  <si>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</si>
  <si>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</si>
  <si>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</si>
  <si>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</si>
  <si>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</si>
  <si>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</si>
  <si>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</si>
  <si>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</si>
  <si>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</si>
  <si>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</si>
  <si>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</si>
  <si>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</si>
  <si>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</si>
  <si>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</si>
  <si>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</si>
  <si>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</si>
  <si>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</si>
  <si>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</si>
  <si>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</si>
  <si>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</si>
  <si>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</si>
  <si>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</si>
  <si>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</si>
  <si>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</si>
  <si>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</si>
  <si>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</si>
  <si>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</si>
  <si>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</si>
  <si>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</si>
  <si>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</si>
  <si>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</si>
  <si>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</si>
  <si>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</si>
  <si>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</si>
  <si>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</si>
  <si>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</si>
  <si>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</si>
  <si>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</si>
  <si>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</si>
  <si>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</si>
  <si>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</si>
  <si>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</si>
  <si>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</si>
  <si>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</si>
  <si>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</si>
  <si>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</si>
  <si>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</si>
  <si>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</si>
  <si>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</si>
  <si>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</si>
  <si>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</si>
  <si>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</si>
  <si>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</si>
  <si>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</si>
  <si>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</si>
  <si>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</si>
  <si>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</si>
  <si>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</si>
  <si>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</si>
  <si>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</si>
  <si>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</si>
  <si>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</si>
  <si>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</si>
  <si>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</si>
  <si>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</si>
  <si>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</si>
  <si>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</si>
  <si>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</si>
  <si>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</si>
  <si>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</si>
  <si>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</si>
  <si>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</si>
  <si>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</si>
  <si>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</si>
  <si>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</si>
  <si>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</si>
  <si>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</si>
  <si>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</si>
  <si>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</si>
  <si>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</si>
  <si>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</si>
  <si>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</si>
  <si>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</si>
  <si>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</si>
  <si>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</si>
  <si>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</si>
  <si>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</si>
  <si>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</si>
  <si>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</si>
  <si>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</si>
  <si>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</si>
  <si>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</si>
  <si>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</si>
  <si>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</si>
  <si>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</si>
  <si>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</si>
  <si>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</si>
  <si>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</si>
  <si>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</si>
  <si>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</si>
  <si>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</si>
  <si>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</si>
  <si>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</si>
  <si>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</si>
  <si>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</si>
  <si>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</si>
  <si>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</si>
  <si>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</si>
  <si>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</si>
  <si>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</si>
  <si>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</si>
  <si>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</si>
  <si>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</si>
  <si>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</si>
  <si>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</si>
  <si>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</si>
  <si>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</si>
  <si>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</si>
  <si>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</si>
  <si>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</si>
  <si>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</si>
  <si>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</si>
  <si>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</si>
  <si>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</si>
  <si>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</si>
  <si>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</si>
  <si>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</si>
  <si>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</si>
  <si>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</si>
  <si>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</si>
  <si>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</si>
  <si>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</si>
  <si>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</si>
  <si>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</si>
  <si>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</si>
  <si>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</si>
  <si>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</si>
  <si>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</si>
  <si>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</si>
  <si>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</si>
  <si>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</si>
  <si>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</si>
  <si>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</si>
  <si>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</si>
  <si>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</si>
  <si>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</si>
  <si>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</si>
  <si>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</si>
  <si>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</si>
  <si>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</si>
  <si>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</si>
  <si>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</si>
  <si>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</si>
  <si>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</si>
  <si>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</si>
  <si>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</si>
  <si>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</si>
  <si>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</si>
  <si>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</si>
  <si>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</si>
  <si>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</si>
  <si>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</si>
  <si>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</si>
  <si>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</si>
  <si>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</si>
  <si>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</si>
  <si>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</si>
  <si>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</si>
  <si>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</si>
  <si>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</si>
  <si>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</si>
  <si>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</si>
  <si>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</si>
  <si>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</si>
  <si>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</si>
  <si>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</si>
  <si>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</si>
  <si>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</si>
  <si>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</si>
  <si>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</si>
  <si>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</si>
  <si>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</si>
  <si>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</si>
  <si>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</si>
  <si>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</si>
  <si>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</si>
  <si>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</si>
  <si>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</si>
  <si>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</si>
  <si>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SH 146 Access Management</t>
  </si>
  <si>
    <t>SH 146</t>
  </si>
  <si>
    <t>IH 10</t>
  </si>
  <si>
    <t>Lynchburg Canal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</si>
</sst>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F25" sqref="F25"/>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30" x14ac:dyDescent="0.25">
      <c r="B6" s="4" t="s">
        <v>166</v>
      </c>
      <c r="C6" s="120" t="s">
        <v>281</v>
      </c>
      <c r="D6" s="94"/>
    </row>
    <row r="7" spans="2:19" x14ac:dyDescent="0.25">
      <c r="B7" s="4" t="s">
        <v>117</v>
      </c>
      <c r="C7" s="121" t="s">
        <v>122</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5.8</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2025</v>
      </c>
      <c r="D17" s="96"/>
    </row>
    <row r="18" spans="2:13" x14ac:dyDescent="0.25">
      <c r="B18" s="4" t="s">
        <v>259</v>
      </c>
      <c r="C18" s="120" t="s">
        <v>226</v>
      </c>
      <c r="D18" s="26"/>
    </row>
    <row r="19" spans="2:13" x14ac:dyDescent="0.25">
      <c r="B19" s="122" t="s">
        <v>251</v>
      </c>
      <c r="C19" s="174">
        <f>VLOOKUP(C18,'CRF Lookup Table'!C3:F84,2, FALSE)</f>
        <v>203</v>
      </c>
      <c r="D19" s="97"/>
    </row>
    <row r="20" spans="2:13" x14ac:dyDescent="0.25">
      <c r="B20" s="122" t="s">
        <v>102</v>
      </c>
      <c r="C20" s="175">
        <f>VLOOKUP(C18,'CRF Lookup Table'!C3:F84,3, FALSE)</f>
        <v>0.4</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13073</v>
      </c>
      <c r="D25" s="99"/>
      <c r="I25" s="49"/>
    </row>
    <row r="26" spans="2:13" x14ac:dyDescent="0.25">
      <c r="I26" s="49"/>
    </row>
    <row r="27" spans="2:13" x14ac:dyDescent="0.25">
      <c r="B27" s="86" t="s">
        <v>269</v>
      </c>
      <c r="C27" s="87">
        <v>6141</v>
      </c>
      <c r="D27" s="99"/>
      <c r="I27" s="49"/>
    </row>
    <row r="28" spans="2:13" x14ac:dyDescent="0.25">
      <c r="B28" s="86" t="s">
        <v>150</v>
      </c>
      <c r="C28" s="87">
        <v>20510</v>
      </c>
      <c r="D28" s="99"/>
      <c r="I28" s="49"/>
    </row>
    <row r="29" spans="2:13" x14ac:dyDescent="0.25">
      <c r="B29" s="86" t="s">
        <v>270</v>
      </c>
      <c r="C29" s="88">
        <v>7110</v>
      </c>
      <c r="D29" s="69"/>
      <c r="I29" s="49"/>
    </row>
    <row r="30" spans="2:13" x14ac:dyDescent="0.25">
      <c r="B30" s="86" t="s">
        <v>151</v>
      </c>
      <c r="C30" s="88">
        <v>20510</v>
      </c>
      <c r="D30" s="69"/>
      <c r="I30" s="49"/>
    </row>
    <row r="31" spans="2:13" x14ac:dyDescent="0.25">
      <c r="B31" s="86" t="s">
        <v>271</v>
      </c>
      <c r="C31" s="87">
        <v>14666</v>
      </c>
      <c r="D31" s="99"/>
      <c r="H31" s="70"/>
    </row>
    <row r="32" spans="2:13" x14ac:dyDescent="0.25">
      <c r="B32" s="86" t="s">
        <v>152</v>
      </c>
      <c r="C32" s="87">
        <v>20510</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54989.58358476877</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74"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15135.813385442096</v>
      </c>
      <c r="G4" s="183" t="s">
        <v>260</v>
      </c>
      <c r="H4" s="183"/>
      <c r="I4" s="183"/>
      <c r="J4" s="183"/>
      <c r="L4" s="136"/>
      <c r="M4" s="137">
        <v>2018</v>
      </c>
      <c r="N4" s="138">
        <f>_2018_Volume_ADT</f>
        <v>13073</v>
      </c>
      <c r="O4" s="139" t="s">
        <v>85</v>
      </c>
      <c r="P4" s="140">
        <f>MIN(B12,1)</f>
        <v>0.29941491955143834</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87787.717635564157</v>
      </c>
      <c r="G5" s="184" t="s">
        <v>261</v>
      </c>
      <c r="H5" s="184"/>
      <c r="I5" s="184"/>
      <c r="J5" s="143">
        <f>SUMPRODUCT(Possible_Crash_Reductions,'Value of Statistical Life'!E5:E11)</f>
        <v>5856006.3439666759</v>
      </c>
      <c r="L5" s="136"/>
      <c r="M5" s="144">
        <f t="shared" ref="M5:M36" si="1">M4+1</f>
        <v>2019</v>
      </c>
      <c r="N5" s="145">
        <f>N4+(N4*O5)</f>
        <v>13349.510248217697</v>
      </c>
      <c r="O5" s="146">
        <f t="shared" ref="O5:O11" si="2">IF(ISERROR(_2025_2045_Demand_Growth),_2018_2045_Demand_Growth,_2018_2025_Demand_Growth)</f>
        <v>2.1151246708307037E-2</v>
      </c>
      <c r="P5" s="147">
        <f t="shared" ref="P5:P11" si="3">P4*(1+IFERROR(_2018_2025_V_C_Growth,_2018_2045_V_C_Growth))</f>
        <v>0.30574791838301874</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22824806.585246682</v>
      </c>
      <c r="L6" s="136"/>
      <c r="M6" s="137">
        <f t="shared" si="1"/>
        <v>2020</v>
      </c>
      <c r="N6" s="145">
        <f t="shared" ref="N6:N36" si="6">N5+(N5*O6)</f>
        <v>13631.869032912822</v>
      </c>
      <c r="O6" s="146">
        <f t="shared" si="2"/>
        <v>2.1151246708307037E-2</v>
      </c>
      <c r="P6" s="147">
        <f t="shared" si="3"/>
        <v>0.31221486803528931</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13920.200057923292</v>
      </c>
      <c r="O7" s="146">
        <f t="shared" si="2"/>
        <v>2.1151246708307037E-2</v>
      </c>
      <c r="P7" s="147">
        <f t="shared" si="3"/>
        <v>0.31881860173510523</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14214.629643577417</v>
      </c>
      <c r="O8" s="146">
        <f t="shared" si="2"/>
        <v>2.1151246708307037E-2</v>
      </c>
      <c r="P8" s="147">
        <f t="shared" si="3"/>
        <v>0.32556201263560192</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2.1151246708307037E-2</v>
      </c>
      <c r="D9" s="152" t="s">
        <v>137</v>
      </c>
      <c r="E9" s="154">
        <f>IF('Inputs &amp; Outputs'!$C$8='CRASH RATES'!$D$3, VLOOKUP('Inputs &amp; Outputs'!$C$7,'CRASH RATES'!$C$14:$J$21,3,FALSE), VLOOKUP('Inputs &amp; Outputs'!$C$7,'CRASH RATES'!$C$28:$J$35,3,FALSE))</f>
        <v>2.8832323701282432</v>
      </c>
      <c r="F9" s="155"/>
      <c r="L9" s="136"/>
      <c r="M9" s="144">
        <f t="shared" si="1"/>
        <v>2023</v>
      </c>
      <c r="N9" s="145">
        <f t="shared" si="6"/>
        <v>14515.286782035937</v>
      </c>
      <c r="O9" s="146">
        <f t="shared" si="2"/>
        <v>2.1151246708307037E-2</v>
      </c>
      <c r="P9" s="147">
        <f t="shared" si="3"/>
        <v>0.3324480550837105</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3.6864735330737641E-2</v>
      </c>
      <c r="D10" s="152" t="s">
        <v>138</v>
      </c>
      <c r="E10" s="154">
        <f>IF('Inputs &amp; Outputs'!$C$8='CRASH RATES'!$D$3, VLOOKUP('Inputs &amp; Outputs'!$C$7,'CRASH RATES'!$C$14:$J$21,4,FALSE), VLOOKUP('Inputs &amp; Outputs'!$C$7,'CRASH RATES'!$C$28:$J$35,4,FALSE))</f>
        <v>27.184762346923439</v>
      </c>
      <c r="F10" s="155"/>
      <c r="L10" s="136"/>
      <c r="M10" s="137">
        <f t="shared" si="1"/>
        <v>2024</v>
      </c>
      <c r="N10" s="145">
        <f t="shared" si="6"/>
        <v>14822.303193804608</v>
      </c>
      <c r="O10" s="146">
        <f t="shared" si="2"/>
        <v>2.1151246708307037E-2</v>
      </c>
      <c r="P10" s="147">
        <f t="shared" si="3"/>
        <v>0.33947974591448293</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3.2767798542636006E-2</v>
      </c>
      <c r="D11" s="152" t="s">
        <v>139</v>
      </c>
      <c r="E11" s="154">
        <f>IF('Inputs &amp; Outputs'!$C$8='CRASH RATES'!$D$3, VLOOKUP('Inputs &amp; Outputs'!$C$7,'CRASH RATES'!$C$14:$J$21,5,FALSE), VLOOKUP('Inputs &amp; Outputs'!$C$7,'CRASH RATES'!$C$28:$J$35,5,FALSE))</f>
        <v>68.373796205898344</v>
      </c>
      <c r="F11" s="155"/>
      <c r="L11" s="136"/>
      <c r="M11" s="144">
        <f t="shared" si="1"/>
        <v>2025</v>
      </c>
      <c r="N11" s="145">
        <f t="shared" si="6"/>
        <v>15135.813385442096</v>
      </c>
      <c r="O11" s="146">
        <f t="shared" si="2"/>
        <v>2.1151246708307037E-2</v>
      </c>
      <c r="P11" s="147">
        <f t="shared" si="3"/>
        <v>0.34666016577279357</v>
      </c>
      <c r="Q11" s="148">
        <f t="shared" si="4"/>
        <v>1</v>
      </c>
      <c r="R11" s="37">
        <f>IF(M11=Year_Open_to_Traffic?,Calculations!$J$5,Calculations!R10+(Calculations!R10*Calculations!O11*Q11))</f>
        <v>5856006.3439666759</v>
      </c>
      <c r="S11" s="54">
        <f t="shared" si="0"/>
        <v>1</v>
      </c>
      <c r="T11" s="37">
        <f t="shared" si="5"/>
        <v>5856.0063439666756</v>
      </c>
      <c r="U11" s="142">
        <f>T11/(1+Real_Discount_Rate)^(Calculations!M11-'Assumed Values'!$C$5)</f>
        <v>3646.8264391797752</v>
      </c>
    </row>
    <row r="12" spans="1:21" ht="15.75" x14ac:dyDescent="0.25">
      <c r="A12" s="152" t="s">
        <v>75</v>
      </c>
      <c r="B12" s="156">
        <f>'Inputs &amp; Outputs'!C27/_2018_Peak_Period_Capacity</f>
        <v>0.29941491955143834</v>
      </c>
      <c r="D12" s="152" t="s">
        <v>140</v>
      </c>
      <c r="E12" s="154">
        <f>IF('Inputs &amp; Outputs'!$C$8='CRASH RATES'!$D$3, VLOOKUP('Inputs &amp; Outputs'!$C$7,'CRASH RATES'!$C$14:$J$21,6,FALSE), VLOOKUP('Inputs &amp; Outputs'!$C$7,'CRASH RATES'!$C$28:$J$35,6,FALSE))</f>
        <v>63.019221804231606</v>
      </c>
      <c r="F12" s="155"/>
      <c r="L12" s="136"/>
      <c r="M12" s="137">
        <f t="shared" si="1"/>
        <v>2026</v>
      </c>
      <c r="N12" s="145">
        <f t="shared" si="6"/>
        <v>15693.791139911855</v>
      </c>
      <c r="O12" s="146">
        <f t="shared" ref="O12:O36" si="7">IFERROR(_2025_2045_Demand_Growth,_2018_2045_Demand_Growth)</f>
        <v>3.6864735330737641E-2</v>
      </c>
      <c r="P12" s="147">
        <f t="shared" ref="P12:P36" si="8">P11*(1+IFERROR(_2025_2040_V_C_Growth,_2018_2045_V_C_Growth))</f>
        <v>0.35943970103371725</v>
      </c>
      <c r="Q12" s="148">
        <f t="shared" si="4"/>
        <v>1</v>
      </c>
      <c r="R12" s="37">
        <f>IF(M12=Year_Open_to_Traffic?,Calculations!$J$5,Calculations!R11+(Calculations!R11*Calculations!O12*Q12))</f>
        <v>6071886.4679321283</v>
      </c>
      <c r="S12" s="54">
        <f t="shared" si="0"/>
        <v>1</v>
      </c>
      <c r="T12" s="37">
        <f t="shared" si="5"/>
        <v>6071.8864679321287</v>
      </c>
      <c r="U12" s="142">
        <f>T12/(1+Real_Discount_Rate)^(Calculations!M12-'Assumed Values'!$C$5)</f>
        <v>3533.8932062217523</v>
      </c>
    </row>
    <row r="13" spans="1:21" ht="15.75" x14ac:dyDescent="0.25">
      <c r="A13" s="152" t="s">
        <v>74</v>
      </c>
      <c r="B13" s="156">
        <f>_2025_Peak_Period_Volume/_2025_Peak_Period_Capacity</f>
        <v>0.34666016577279374</v>
      </c>
      <c r="D13" s="152" t="s">
        <v>141</v>
      </c>
      <c r="E13" s="154">
        <f>IF('Inputs &amp; Outputs'!$C$8='CRASH RATES'!$D$3, VLOOKUP('Inputs &amp; Outputs'!$C$7,'CRASH RATES'!$C$14:$J$21,7,FALSE), VLOOKUP('Inputs &amp; Outputs'!$C$7,'CRASH RATES'!$C$28:$J$35,7,FALSE))</f>
        <v>906.57063523603767</v>
      </c>
      <c r="F13" s="155"/>
      <c r="L13" s="136"/>
      <c r="M13" s="144">
        <f t="shared" si="1"/>
        <v>2027</v>
      </c>
      <c r="N13" s="145">
        <f t="shared" si="6"/>
        <v>16272.338596620581</v>
      </c>
      <c r="O13" s="146">
        <f t="shared" si="7"/>
        <v>3.6864735330737641E-2</v>
      </c>
      <c r="P13" s="147">
        <f t="shared" si="8"/>
        <v>0.37269035047968468</v>
      </c>
      <c r="Q13" s="148">
        <f t="shared" si="4"/>
        <v>1</v>
      </c>
      <c r="R13" s="37">
        <f>IF(M13=Year_Open_to_Traffic?,Calculations!$J$5,Calculations!R12+(Calculations!R12*Calculations!O13*Q13))</f>
        <v>6295724.9555307338</v>
      </c>
      <c r="S13" s="54">
        <f t="shared" si="0"/>
        <v>1</v>
      </c>
      <c r="T13" s="37">
        <f t="shared" si="5"/>
        <v>6295.7249555307335</v>
      </c>
      <c r="U13" s="142">
        <f>T13/(1+Real_Discount_Rate)^(Calculations!M13-'Assumed Values'!$C$5)</f>
        <v>3424.4572373422507</v>
      </c>
    </row>
    <row r="14" spans="1:21" ht="15.75" x14ac:dyDescent="0.25">
      <c r="A14" s="152" t="s">
        <v>148</v>
      </c>
      <c r="B14" s="156">
        <f>_2045_Peak_Period_Volume/_2045_Peak_Period_Capacity</f>
        <v>0.71506582155046317</v>
      </c>
      <c r="D14" s="152" t="s">
        <v>142</v>
      </c>
      <c r="E14" s="154">
        <f>IF('Inputs &amp; Outputs'!$C$8='CRASH RATES'!$D$3, VLOOKUP('Inputs &amp; Outputs'!$C$7,'CRASH RATES'!$C$14:$J$21,8,FALSE), VLOOKUP('Inputs &amp; Outputs'!$C$7,'CRASH RATES'!$C$28:$J$35,8,FALSE))</f>
        <v>35.422569118718414</v>
      </c>
      <c r="F14" s="155"/>
      <c r="L14" s="136"/>
      <c r="M14" s="137">
        <f>M13+1</f>
        <v>2028</v>
      </c>
      <c r="N14" s="145">
        <f t="shared" si="6"/>
        <v>16872.214052197145</v>
      </c>
      <c r="O14" s="146">
        <f t="shared" si="7"/>
        <v>3.6864735330737641E-2</v>
      </c>
      <c r="P14" s="147">
        <f>P13*(1+IFERROR(_2025_2040_V_C_Growth,_2018_2045_V_C_Growth))</f>
        <v>0.38642948161043811</v>
      </c>
      <c r="Q14" s="148">
        <f t="shared" si="4"/>
        <v>1</v>
      </c>
      <c r="R14" s="37">
        <f>IF(M14=Year_Open_to_Traffic?,Calculations!$J$5,Calculations!R13+(Calculations!R13*Calculations!O14*Q14))</f>
        <v>6527815.1897314945</v>
      </c>
      <c r="S14" s="54">
        <f t="shared" si="0"/>
        <v>1</v>
      </c>
      <c r="T14" s="37">
        <f t="shared" si="5"/>
        <v>6527.8151897314947</v>
      </c>
      <c r="U14" s="142">
        <f>T14/(1+Real_Discount_Rate)^(Calculations!M14-'Assumed Values'!$C$5)</f>
        <v>3318.4102308862639</v>
      </c>
    </row>
    <row r="15" spans="1:21" ht="15.75" x14ac:dyDescent="0.25">
      <c r="A15" s="152" t="s">
        <v>80</v>
      </c>
      <c r="B15" s="153">
        <f>(B13/B12)^(1/(2025-2018))-1</f>
        <v>2.1151246708307037E-2</v>
      </c>
      <c r="L15" s="136"/>
      <c r="M15" s="144">
        <f>M14+1</f>
        <v>2029</v>
      </c>
      <c r="N15" s="145">
        <f t="shared" si="6"/>
        <v>17494.203757674946</v>
      </c>
      <c r="O15" s="146">
        <f t="shared" si="7"/>
        <v>3.6864735330737641E-2</v>
      </c>
      <c r="P15" s="147">
        <f>P14*(1+IFERROR(_2025_2040_V_C_Growth,_2018_2045_V_C_Growth))</f>
        <v>0.40067510217400104</v>
      </c>
      <c r="Q15" s="148">
        <f t="shared" si="4"/>
        <v>1</v>
      </c>
      <c r="R15" s="37">
        <f>IF(M15=Year_Open_to_Traffic?,Calculations!$J$5,Calculations!R14+(Calculations!R14*Calculations!O15*Q15))</f>
        <v>6768461.3689889153</v>
      </c>
      <c r="S15" s="54">
        <f t="shared" si="0"/>
        <v>1</v>
      </c>
      <c r="T15" s="37">
        <f t="shared" si="5"/>
        <v>6768.4613689889156</v>
      </c>
      <c r="U15" s="142">
        <f>T15/(1+Real_Discount_Rate)^(Calculations!M15-'Assumed Values'!$C$5)</f>
        <v>3215.6472390342969</v>
      </c>
    </row>
    <row r="16" spans="1:21" ht="15.75" x14ac:dyDescent="0.25">
      <c r="A16" s="152" t="s">
        <v>108</v>
      </c>
      <c r="B16" s="153">
        <f>(B14/B13)^(1/(2045-2025))-1</f>
        <v>3.6864735330737641E-2</v>
      </c>
      <c r="D16" s="157" t="s">
        <v>136</v>
      </c>
      <c r="E16" s="151"/>
      <c r="L16" s="136"/>
      <c r="M16" s="137">
        <f t="shared" si="1"/>
        <v>2030</v>
      </c>
      <c r="N16" s="145">
        <f t="shared" si="6"/>
        <v>18139.122949023629</v>
      </c>
      <c r="O16" s="146">
        <f t="shared" si="7"/>
        <v>3.6864735330737641E-2</v>
      </c>
      <c r="P16" s="147">
        <f t="shared" si="8"/>
        <v>0.41544588376926184</v>
      </c>
      <c r="Q16" s="148">
        <f t="shared" si="4"/>
        <v>1</v>
      </c>
      <c r="R16" s="37">
        <f>IF(M16=Year_Open_to_Traffic?,Calculations!$J$5,Calculations!R15+(Calculations!R15*Calculations!O16*Q16))</f>
        <v>7017978.9059530143</v>
      </c>
      <c r="S16" s="54">
        <f t="shared" si="0"/>
        <v>1</v>
      </c>
      <c r="T16" s="37">
        <f t="shared" si="5"/>
        <v>7017.978905953014</v>
      </c>
      <c r="U16" s="142">
        <f>T16/(1+Real_Discount_Rate)^(Calculations!M16-'Assumed Values'!$C$5)</f>
        <v>3116.0665639423496</v>
      </c>
    </row>
    <row r="17" spans="1:21" ht="15.75" x14ac:dyDescent="0.25">
      <c r="A17" s="152" t="s">
        <v>109</v>
      </c>
      <c r="B17" s="153">
        <f>(B14/B12)^(1/(2045-2018))-1</f>
        <v>3.2767798542636006E-2</v>
      </c>
      <c r="D17" s="152" t="s">
        <v>89</v>
      </c>
      <c r="E17" s="158">
        <f>($E$6*Death_Rate)/100000000</f>
        <v>0.65809221188499523</v>
      </c>
      <c r="L17" s="136"/>
      <c r="M17" s="144">
        <f t="shared" si="1"/>
        <v>2031</v>
      </c>
      <c r="N17" s="145">
        <f t="shared" si="6"/>
        <v>18807.816915671094</v>
      </c>
      <c r="O17" s="146">
        <f t="shared" si="7"/>
        <v>3.6864735330737641E-2</v>
      </c>
      <c r="P17" s="147">
        <f t="shared" si="8"/>
        <v>0.43076118631866006</v>
      </c>
      <c r="Q17" s="148">
        <f t="shared" si="4"/>
        <v>1</v>
      </c>
      <c r="R17" s="37">
        <f>IF(M17=Year_Open_to_Traffic?,Calculations!$J$5,Calculations!R16+(Calculations!R16*Calculations!O17*Q17))</f>
        <v>7276694.8408776717</v>
      </c>
      <c r="S17" s="54">
        <f t="shared" si="0"/>
        <v>1</v>
      </c>
      <c r="T17" s="37">
        <f t="shared" si="5"/>
        <v>7276.6948408776716</v>
      </c>
      <c r="U17" s="142">
        <f>T17/(1+Real_Discount_Rate)^(Calculations!M17-'Assumed Values'!$C$5)</f>
        <v>3019.5696570981731</v>
      </c>
    </row>
    <row r="18" spans="1:21" ht="15.75" x14ac:dyDescent="0.25">
      <c r="D18" s="152" t="s">
        <v>94</v>
      </c>
      <c r="E18" s="158">
        <f>($E$6*Incap_Injry_Rate)/100000000</f>
        <v>6.2048694263442421</v>
      </c>
      <c r="L18" s="136"/>
      <c r="M18" s="137">
        <f t="shared" si="1"/>
        <v>2032</v>
      </c>
      <c r="N18" s="145">
        <f t="shared" si="6"/>
        <v>19501.16210841628</v>
      </c>
      <c r="O18" s="146">
        <f t="shared" si="7"/>
        <v>3.6864735330737641E-2</v>
      </c>
      <c r="P18" s="147">
        <f t="shared" si="8"/>
        <v>0.44664108344305203</v>
      </c>
      <c r="Q18" s="148">
        <f t="shared" si="4"/>
        <v>1</v>
      </c>
      <c r="R18" s="37">
        <f>IF(M18=Year_Open_to_Traffic?,Calculations!$J$5,Calculations!R17+(Calculations!R17*Calculations!O18*Q18))</f>
        <v>7544948.2702691713</v>
      </c>
      <c r="S18" s="54">
        <f t="shared" si="0"/>
        <v>1</v>
      </c>
      <c r="T18" s="37">
        <f t="shared" si="5"/>
        <v>7544.9482702691712</v>
      </c>
      <c r="U18" s="142">
        <f>T18/(1+Real_Discount_Rate)^(Calculations!M18-'Assumed Values'!$C$5)</f>
        <v>2926.0610217942276</v>
      </c>
    </row>
    <row r="19" spans="1:21" ht="15.75" x14ac:dyDescent="0.25">
      <c r="D19" s="152" t="s">
        <v>93</v>
      </c>
      <c r="E19" s="158">
        <f>($E$6*Nonincap_Injry_Rate)/100000000</f>
        <v>15.606186738987031</v>
      </c>
      <c r="L19" s="136"/>
      <c r="M19" s="144">
        <f t="shared" si="1"/>
        <v>2033</v>
      </c>
      <c r="N19" s="145">
        <f t="shared" si="6"/>
        <v>20220.067288184855</v>
      </c>
      <c r="O19" s="146">
        <f t="shared" si="7"/>
        <v>3.6864735330737641E-2</v>
      </c>
      <c r="P19" s="147">
        <f t="shared" si="8"/>
        <v>0.46310638877201404</v>
      </c>
      <c r="Q19" s="148">
        <f t="shared" si="4"/>
        <v>1</v>
      </c>
      <c r="R19" s="37">
        <f>IF(M19=Year_Open_to_Traffic?,Calculations!$J$5,Calculations!R18+(Calculations!R18*Calculations!O19*Q19))</f>
        <v>7823090.7913367515</v>
      </c>
      <c r="S19" s="54">
        <f t="shared" si="0"/>
        <v>1</v>
      </c>
      <c r="T19" s="37">
        <f t="shared" si="5"/>
        <v>7823.0907913367519</v>
      </c>
      <c r="U19" s="142">
        <f>T19/(1+Real_Discount_Rate)^(Calculations!M19-'Assumed Values'!$C$5)</f>
        <v>2835.4481186208036</v>
      </c>
    </row>
    <row r="20" spans="1:21" ht="15.75" x14ac:dyDescent="0.25">
      <c r="D20" s="152" t="s">
        <v>92</v>
      </c>
      <c r="E20" s="158">
        <f>($E$6*Poss_Injry_Rate/100000000)</f>
        <v>14.384015488343469</v>
      </c>
      <c r="L20" s="136"/>
      <c r="M20" s="137">
        <f t="shared" si="1"/>
        <v>2034</v>
      </c>
      <c r="N20" s="145">
        <f t="shared" si="6"/>
        <v>20965.474717133497</v>
      </c>
      <c r="O20" s="146">
        <f t="shared" si="7"/>
        <v>3.6864735330737641E-2</v>
      </c>
      <c r="P20" s="147">
        <f t="shared" si="8"/>
        <v>0.48017868322406804</v>
      </c>
      <c r="Q20" s="148">
        <f t="shared" si="4"/>
        <v>1</v>
      </c>
      <c r="R20" s="37">
        <f>IF(M20=Year_Open_to_Traffic?,Calculations!$J$5,Calculations!R19+(Calculations!R19*Calculations!O20*Q20))</f>
        <v>8111486.9628277114</v>
      </c>
      <c r="S20" s="54">
        <f t="shared" si="0"/>
        <v>1</v>
      </c>
      <c r="T20" s="37">
        <f t="shared" si="5"/>
        <v>8111.4869628277111</v>
      </c>
      <c r="U20" s="142">
        <f>T20/(1+Real_Discount_Rate)^(Calculations!M20-'Assumed Values'!$C$5)</f>
        <v>2747.6412738857921</v>
      </c>
    </row>
    <row r="21" spans="1:21" ht="15.75" x14ac:dyDescent="0.25">
      <c r="D21" s="152" t="s">
        <v>91</v>
      </c>
      <c r="E21" s="158">
        <f>($E$6*Non_Injry_Rate)/100000000</f>
        <v>206.92299405126781</v>
      </c>
      <c r="L21" s="136"/>
      <c r="M21" s="144">
        <f>M20+1</f>
        <v>2035</v>
      </c>
      <c r="N21" s="145">
        <f t="shared" si="6"/>
        <v>21738.361393663894</v>
      </c>
      <c r="O21" s="146">
        <f t="shared" si="7"/>
        <v>3.6864735330737641E-2</v>
      </c>
      <c r="P21" s="147">
        <f>P20*(1+IFERROR(_2025_2040_V_C_Growth,_2018_2045_V_C_Growth))</f>
        <v>0.4978803432925854</v>
      </c>
      <c r="Q21" s="148">
        <f t="shared" si="4"/>
        <v>1</v>
      </c>
      <c r="R21" s="37">
        <f>IF(M21=Year_Open_to_Traffic?,Calculations!$J$5,Calculations!R20+(Calculations!R20*Calculations!O21*Q21))</f>
        <v>8410514.7828510832</v>
      </c>
      <c r="S21" s="54">
        <f t="shared" si="0"/>
        <v>1</v>
      </c>
      <c r="T21" s="37">
        <f t="shared" si="5"/>
        <v>8410.5147828510835</v>
      </c>
      <c r="U21" s="142">
        <f>T21/(1+Real_Discount_Rate)^(Calculations!M21-'Assumed Values'!$C$5)</f>
        <v>2662.5535908704696</v>
      </c>
    </row>
    <row r="22" spans="1:21" ht="15.75" x14ac:dyDescent="0.25">
      <c r="D22" s="152" t="s">
        <v>90</v>
      </c>
      <c r="E22" s="158">
        <f>($E$6*Unkn_Injry_Rate)/100000000</f>
        <v>8.0851328888727991</v>
      </c>
      <c r="L22" s="136"/>
      <c r="M22" s="137">
        <f>M21+1</f>
        <v>2036</v>
      </c>
      <c r="N22" s="145">
        <f t="shared" si="6"/>
        <v>22539.740332965237</v>
      </c>
      <c r="O22" s="146">
        <f t="shared" si="7"/>
        <v>3.6864735330737641E-2</v>
      </c>
      <c r="P22" s="147">
        <f t="shared" si="8"/>
        <v>0.51623457037444331</v>
      </c>
      <c r="Q22" s="148">
        <f t="shared" si="4"/>
        <v>1</v>
      </c>
      <c r="R22" s="37">
        <f>IF(M22=Year_Open_to_Traffic?,Calculations!$J$5,Calculations!R21+(Calculations!R21*Calculations!O22*Q22))</f>
        <v>8720566.1843161453</v>
      </c>
      <c r="S22" s="54">
        <f t="shared" si="0"/>
        <v>1</v>
      </c>
      <c r="T22" s="37">
        <f t="shared" si="5"/>
        <v>8720.5661843161452</v>
      </c>
      <c r="U22" s="142">
        <f>T22/(1+Real_Discount_Rate)^(Calculations!M22-'Assumed Values'!$C$5)</f>
        <v>2580.1008638334715</v>
      </c>
    </row>
    <row r="23" spans="1:21" ht="15.75" x14ac:dyDescent="0.25">
      <c r="L23" s="136"/>
      <c r="M23" s="144">
        <f t="shared" si="1"/>
        <v>2037</v>
      </c>
      <c r="N23" s="145">
        <f t="shared" si="6"/>
        <v>23370.661894763554</v>
      </c>
      <c r="O23" s="146">
        <f t="shared" si="7"/>
        <v>3.6864735330737641E-2</v>
      </c>
      <c r="P23" s="147">
        <f t="shared" si="8"/>
        <v>0.53526542117987419</v>
      </c>
      <c r="Q23" s="148">
        <f t="shared" si="4"/>
        <v>1</v>
      </c>
      <c r="R23" s="37">
        <f>IF(M23=Year_Open_to_Traffic?,Calculations!$J$5,Calculations!R22+(Calculations!R22*Calculations!O23*Q23))</f>
        <v>9042047.5486351401</v>
      </c>
      <c r="S23" s="54">
        <f t="shared" si="0"/>
        <v>1</v>
      </c>
      <c r="T23" s="37">
        <f t="shared" si="5"/>
        <v>9042.0475486351406</v>
      </c>
      <c r="U23" s="142">
        <f>T23/(1+Real_Discount_Rate)^(Calculations!M23-'Assumed Values'!$C$5)</f>
        <v>2500.2014946778504</v>
      </c>
    </row>
    <row r="24" spans="1:21" ht="15.75" x14ac:dyDescent="0.25">
      <c r="L24" s="136"/>
      <c r="M24" s="137">
        <f t="shared" si="1"/>
        <v>2038</v>
      </c>
      <c r="N24" s="145">
        <f t="shared" si="6"/>
        <v>24232.215160018168</v>
      </c>
      <c r="O24" s="146">
        <f t="shared" si="7"/>
        <v>3.6864735330737641E-2</v>
      </c>
      <c r="P24" s="147">
        <f t="shared" si="8"/>
        <v>0.5549978392633661</v>
      </c>
      <c r="Q24" s="148">
        <f t="shared" si="4"/>
        <v>1</v>
      </c>
      <c r="R24" s="37">
        <f>IF(M24=Year_Open_to_Traffic?,Calculations!$J$5,Calculations!R23+(Calculations!R23*Calculations!O24*Q24))</f>
        <v>9375380.2383635193</v>
      </c>
      <c r="S24" s="54">
        <f t="shared" si="0"/>
        <v>1</v>
      </c>
      <c r="T24" s="37">
        <f t="shared" si="5"/>
        <v>9375.3802383635193</v>
      </c>
      <c r="U24" s="142">
        <f>T24/(1+Real_Discount_Rate)^(Calculations!M24-'Assumed Values'!$C$5)</f>
        <v>2422.7764121987511</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25125.529358369728</v>
      </c>
      <c r="O25" s="146">
        <f t="shared" si="7"/>
        <v>3.6864735330737641E-2</v>
      </c>
      <c r="P25" s="147">
        <f t="shared" si="8"/>
        <v>0.57545768771694139</v>
      </c>
      <c r="Q25" s="148">
        <f t="shared" si="4"/>
        <v>1</v>
      </c>
      <c r="R25" s="37">
        <f>IF(M25=Year_Open_to_Traffic?,Calculations!$J$5,Calculations!R24+(Calculations!R24*Calculations!O25*Q25))</f>
        <v>9721001.1494758185</v>
      </c>
      <c r="S25" s="54">
        <f t="shared" si="0"/>
        <v>1</v>
      </c>
      <c r="T25" s="37">
        <f t="shared" si="5"/>
        <v>9721.0011494758182</v>
      </c>
      <c r="U25" s="142">
        <f>T25/(1+Real_Discount_Rate)^(Calculations!M25-'Assumed Values'!$C$5)</f>
        <v>2347.7489938317872</v>
      </c>
    </row>
    <row r="26" spans="1:21" ht="15.75" x14ac:dyDescent="0.25">
      <c r="A26" s="181"/>
      <c r="B26" s="181"/>
      <c r="D26" s="160">
        <f>Calculations!E17</f>
        <v>0.65809221188499523</v>
      </c>
      <c r="E26" s="160">
        <f>Calculations!E18</f>
        <v>6.2048694263442421</v>
      </c>
      <c r="F26" s="160">
        <f>Calculations!E19</f>
        <v>15.606186738987031</v>
      </c>
      <c r="G26" s="160">
        <f>Calculations!E20</f>
        <v>14.384015488343469</v>
      </c>
      <c r="H26" s="160">
        <f>Calculations!E21</f>
        <v>206.92299405126781</v>
      </c>
      <c r="I26" s="160">
        <f>Calculations!E22</f>
        <v>8.0851328888727991</v>
      </c>
      <c r="J26" s="182"/>
      <c r="L26" s="136"/>
      <c r="M26" s="137">
        <f t="shared" si="1"/>
        <v>2040</v>
      </c>
      <c r="N26" s="145">
        <f t="shared" si="6"/>
        <v>26051.775348210707</v>
      </c>
      <c r="O26" s="146">
        <f t="shared" si="7"/>
        <v>3.6864735330737641E-2</v>
      </c>
      <c r="P26" s="147">
        <f t="shared" si="8"/>
        <v>0.59667178306866475</v>
      </c>
      <c r="Q26" s="148">
        <f t="shared" si="4"/>
        <v>1</v>
      </c>
      <c r="R26" s="37">
        <f>IF(M26=Year_Open_to_Traffic?,Calculations!$J$5,Calculations!R25+(Calculations!R25*Calculations!O26*Q26))</f>
        <v>10079363.284001041</v>
      </c>
      <c r="S26" s="54">
        <f t="shared" si="0"/>
        <v>1</v>
      </c>
      <c r="T26" s="37">
        <f t="shared" si="5"/>
        <v>10079.363284001041</v>
      </c>
      <c r="U26" s="142">
        <f>T26/(1+Real_Discount_Rate)^(Calculations!M26-'Assumed Values'!$C$5)</f>
        <v>2275.0449898246743</v>
      </c>
    </row>
    <row r="27" spans="1:21" ht="15.75" x14ac:dyDescent="0.25">
      <c r="A27" s="161" t="s">
        <v>95</v>
      </c>
      <c r="B27" s="162" t="s">
        <v>96</v>
      </c>
      <c r="D27" s="163">
        <f>D$26*'Value of Statistical Life'!D17*Appropriate_Crash_Reduction_Factor</f>
        <v>0</v>
      </c>
      <c r="E27" s="163">
        <f>E$26*'Value of Statistical Life'!E17*Appropriate_Crash_Reduction_Factor</f>
        <v>8.5304544873380642E-2</v>
      </c>
      <c r="F27" s="163">
        <f>F$26*'Value of Statistical Life'!F17*Appropriate_Crash_Reduction_Factor</f>
        <v>0.52105936284129906</v>
      </c>
      <c r="G27" s="163">
        <f>G$26*'Value of Statistical Life'!G17*Appropriate_Crash_Reduction_Factor</f>
        <v>1.3484726840012236</v>
      </c>
      <c r="H27" s="163">
        <f>H$26*'Value of Statistical Life'!H17*Appropriate_Crash_Reduction_Factor</f>
        <v>76.589649326160071</v>
      </c>
      <c r="I27" s="163">
        <f>I$26*'Value of Statistical Life'!I17*Appropriate_Crash_Reduction_Factor</f>
        <v>1.4125050562176336</v>
      </c>
      <c r="J27" s="163">
        <f t="shared" ref="J27:J33" si="9">SUM(D27:I27)</f>
        <v>79.956990974093614</v>
      </c>
      <c r="K27" s="164"/>
      <c r="L27" s="136"/>
      <c r="M27" s="144">
        <f t="shared" si="1"/>
        <v>2041</v>
      </c>
      <c r="N27" s="145">
        <f t="shared" si="6"/>
        <v>27012.167151318332</v>
      </c>
      <c r="O27" s="146">
        <f t="shared" si="7"/>
        <v>3.6864735330737641E-2</v>
      </c>
      <c r="P27" s="147">
        <f t="shared" si="8"/>
        <v>0.61866793043081036</v>
      </c>
      <c r="Q27" s="148">
        <f t="shared" si="4"/>
        <v>1</v>
      </c>
      <c r="R27" s="37">
        <f>IF(M27=Year_Open_to_Traffic?,Calculations!$J$5,Calculations!R26+(Calculations!R26*Calculations!O27*Q27))</f>
        <v>10450936.343768094</v>
      </c>
      <c r="S27" s="54">
        <f t="shared" si="0"/>
        <v>1</v>
      </c>
      <c r="T27" s="37">
        <f t="shared" si="5"/>
        <v>10450.936343768093</v>
      </c>
      <c r="U27" s="142">
        <f>T27/(1+Real_Discount_Rate)^(Calculations!M27-'Assumed Values'!$C$5)</f>
        <v>2204.5924497570854</v>
      </c>
    </row>
    <row r="28" spans="1:21" ht="15.75" x14ac:dyDescent="0.25">
      <c r="A28" s="161" t="s">
        <v>61</v>
      </c>
      <c r="B28" s="165" t="s">
        <v>62</v>
      </c>
      <c r="D28" s="163">
        <f>D$26*'Value of Statistical Life'!D18*Appropriate_Crash_Reduction_Factor</f>
        <v>0</v>
      </c>
      <c r="E28" s="163">
        <f>E$26*'Value of Statistical Life'!E18*Appropriate_Crash_Reduction_Factor</f>
        <v>1.3762152192854478</v>
      </c>
      <c r="F28" s="163">
        <f>F$26*'Value of Statistical Life'!F18*Appropriate_Crash_Reduction_Factor</f>
        <v>4.7969048303359223</v>
      </c>
      <c r="G28" s="163">
        <f>G$26*'Value of Statistical Life'!G18*Appropriate_Crash_Reduction_Factor</f>
        <v>3.9668813274373154</v>
      </c>
      <c r="H28" s="163">
        <f>H$26*'Value of Statistical Life'!H18*Appropriate_Crash_Reduction_Factor</f>
        <v>6.0065606713202015</v>
      </c>
      <c r="I28" s="163">
        <f>I$26*'Value of Statistical Life'!I18*Appropriate_Crash_Reduction_Factor</f>
        <v>1.3498614465946472</v>
      </c>
      <c r="J28" s="163">
        <f t="shared" si="9"/>
        <v>17.496423494973534</v>
      </c>
      <c r="K28" s="164"/>
      <c r="L28" s="136"/>
      <c r="M28" s="137">
        <f t="shared" si="1"/>
        <v>2042</v>
      </c>
      <c r="N28" s="145">
        <f t="shared" si="6"/>
        <v>28007.963544061327</v>
      </c>
      <c r="O28" s="146">
        <f t="shared" si="7"/>
        <v>3.6864735330737641E-2</v>
      </c>
      <c r="P28" s="147">
        <f t="shared" si="8"/>
        <v>0.64147495994375736</v>
      </c>
      <c r="Q28" s="148">
        <f t="shared" si="4"/>
        <v>1</v>
      </c>
      <c r="R28" s="37">
        <f>IF(M28=Year_Open_to_Traffic?,Calculations!$J$5,Calculations!R27+(Calculations!R27*Calculations!O28*Q28))</f>
        <v>10836207.346039491</v>
      </c>
      <c r="S28" s="54">
        <f t="shared" si="0"/>
        <v>1</v>
      </c>
      <c r="T28" s="37">
        <f t="shared" si="5"/>
        <v>10836.207346039491</v>
      </c>
      <c r="U28" s="142">
        <f>T28/(1+Real_Discount_Rate)^(Calculations!M28-'Assumed Values'!$C$5)</f>
        <v>2136.321651336003</v>
      </c>
    </row>
    <row r="29" spans="1:21" ht="15.75" x14ac:dyDescent="0.25">
      <c r="A29" s="161" t="s">
        <v>63</v>
      </c>
      <c r="B29" s="165" t="s">
        <v>64</v>
      </c>
      <c r="D29" s="163">
        <f>D$26*'Value of Statistical Life'!D19*Appropriate_Crash_Reduction_Factor</f>
        <v>0</v>
      </c>
      <c r="E29" s="163">
        <f>E$26*'Value of Statistical Life'!E19*Appropriate_Crash_Reduction_Factor</f>
        <v>0.51892563986402163</v>
      </c>
      <c r="F29" s="163">
        <f>F$26*'Value of Statistical Life'!F19*Appropriate_Crash_Reduction_Factor</f>
        <v>0.68030489232592262</v>
      </c>
      <c r="G29" s="163">
        <f>G$26*'Value of Statistical Life'!G19*Appropriate_Crash_Reduction_Factor</f>
        <v>0.36771297194401242</v>
      </c>
      <c r="H29" s="163">
        <f>H$26*'Value of Statistical Life'!H19*Appropriate_Crash_Reduction_Factor</f>
        <v>0.16388301128860411</v>
      </c>
      <c r="I29" s="163">
        <f>I$26*'Value of Statistical Life'!I19*Appropriate_Crash_Reduction_Factor</f>
        <v>0.2869251959603179</v>
      </c>
      <c r="J29" s="163">
        <f t="shared" si="9"/>
        <v>2.0177517113828785</v>
      </c>
      <c r="K29" s="164"/>
      <c r="L29" s="136"/>
      <c r="M29" s="144">
        <f t="shared" si="1"/>
        <v>2043</v>
      </c>
      <c r="N29" s="145">
        <f t="shared" si="6"/>
        <v>29040.469707266097</v>
      </c>
      <c r="O29" s="146">
        <f t="shared" si="7"/>
        <v>3.6864735330737641E-2</v>
      </c>
      <c r="P29" s="147">
        <f t="shared" si="8"/>
        <v>0.66512276456337949</v>
      </c>
      <c r="Q29" s="148">
        <f t="shared" si="4"/>
        <v>1</v>
      </c>
      <c r="R29" s="37">
        <f>IF(M29=Year_Open_to_Traffic?,Calculations!$J$5,Calculations!R28+(Calculations!R28*Calculations!O29*Q29))</f>
        <v>11235681.261840232</v>
      </c>
      <c r="S29" s="54">
        <f t="shared" si="0"/>
        <v>1</v>
      </c>
      <c r="T29" s="37">
        <f t="shared" si="5"/>
        <v>11235.681261840231</v>
      </c>
      <c r="U29" s="142">
        <f>T29/(1+Real_Discount_Rate)^(Calculations!M29-'Assumed Values'!$C$5)</f>
        <v>2070.1650313961013</v>
      </c>
    </row>
    <row r="30" spans="1:21" ht="15.75" x14ac:dyDescent="0.25">
      <c r="A30" s="161" t="s">
        <v>65</v>
      </c>
      <c r="B30" s="165" t="s">
        <v>66</v>
      </c>
      <c r="D30" s="163">
        <f>D$26*'Value of Statistical Life'!D20*Appropriate_Crash_Reduction_Factor</f>
        <v>0</v>
      </c>
      <c r="E30" s="163">
        <f>E$26*'Value of Statistical Life'!E20*Appropriate_Crash_Reduction_Factor</f>
        <v>0.35831879963252733</v>
      </c>
      <c r="F30" s="163">
        <f>F$26*'Value of Statistical Life'!F20*Appropriate_Crash_Reduction_Factor</f>
        <v>0.19919736753643047</v>
      </c>
      <c r="G30" s="163">
        <f>G$26*'Value of Statistical Life'!G20*Appropriate_Crash_Reduction_Factor</f>
        <v>6.1621122352063434E-2</v>
      </c>
      <c r="H30" s="163">
        <f>H$26*'Value of Statistical Life'!H20*Appropriate_Crash_Reduction_Factor</f>
        <v>6.6215358096405712E-3</v>
      </c>
      <c r="I30" s="163">
        <f>I$26*'Value of Statistical Life'!I20*Appropriate_Crash_Reduction_Factor</f>
        <v>0.1557843405028011</v>
      </c>
      <c r="J30" s="163">
        <f t="shared" si="9"/>
        <v>0.78154316583346284</v>
      </c>
      <c r="K30" s="164"/>
      <c r="L30" s="136"/>
      <c r="M30" s="144">
        <f t="shared" si="1"/>
        <v>2044</v>
      </c>
      <c r="N30" s="145">
        <f t="shared" si="6"/>
        <v>30111.038936904766</v>
      </c>
      <c r="O30" s="146">
        <f t="shared" si="7"/>
        <v>3.6864735330737641E-2</v>
      </c>
      <c r="P30" s="147">
        <f t="shared" si="8"/>
        <v>0.68964233924145701</v>
      </c>
      <c r="Q30" s="148">
        <f t="shared" si="4"/>
        <v>1</v>
      </c>
      <c r="R30" s="37">
        <f>IF(M30=Year_Open_to_Traffic?,Calculations!$J$5,Calculations!R29+(Calculations!R29*Calculations!O30*Q30))</f>
        <v>11649881.6778185</v>
      </c>
      <c r="S30" s="54">
        <f t="shared" si="0"/>
        <v>1</v>
      </c>
      <c r="T30" s="37">
        <f t="shared" si="5"/>
        <v>11649.881677818499</v>
      </c>
      <c r="U30" s="142">
        <f>T30/(1+Real_Discount_Rate)^(Calculations!M30-'Assumed Values'!$C$5)</f>
        <v>2006.0571190368851</v>
      </c>
    </row>
    <row r="31" spans="1:21" ht="15.75" x14ac:dyDescent="0.25">
      <c r="A31" s="161" t="s">
        <v>67</v>
      </c>
      <c r="B31" s="165" t="s">
        <v>68</v>
      </c>
      <c r="D31" s="163">
        <f>D$26*'Value of Statistical Life'!D21*Appropriate_Crash_Reduction_Factor</f>
        <v>0</v>
      </c>
      <c r="E31" s="163">
        <f>E$26*'Value of Statistical Life'!E21*Appropriate_Crash_Reduction_Factor</f>
        <v>9.8930438133632601E-2</v>
      </c>
      <c r="F31" s="163">
        <f>F$26*'Value of Statistical Life'!F21*Appropriate_Crash_Reduction_Factor</f>
        <v>3.8703343112687832E-2</v>
      </c>
      <c r="G31" s="163">
        <f>G$26*'Value of Statistical Life'!G21*Appropriate_Crash_Reduction_Factor</f>
        <v>8.170120797379091E-3</v>
      </c>
      <c r="H31" s="163">
        <f>H$26*'Value of Statistical Life'!H21*Appropriate_Crash_Reduction_Factor</f>
        <v>0</v>
      </c>
      <c r="I31" s="163">
        <f>I$26*'Value of Statistical Life'!I21*Appropriate_Crash_Reduction_Factor</f>
        <v>1.995410796973807E-2</v>
      </c>
      <c r="J31" s="163">
        <f t="shared" si="9"/>
        <v>0.16575801001343757</v>
      </c>
      <c r="K31" s="164"/>
      <c r="L31" s="136"/>
      <c r="M31" s="144">
        <f t="shared" si="1"/>
        <v>2045</v>
      </c>
      <c r="N31" s="145">
        <f t="shared" si="6"/>
        <v>31221.074417847296</v>
      </c>
      <c r="O31" s="146">
        <f t="shared" si="7"/>
        <v>3.6864735330737641E-2</v>
      </c>
      <c r="P31" s="147">
        <f t="shared" si="8"/>
        <v>0.71506582155046405</v>
      </c>
      <c r="Q31" s="148">
        <f t="shared" si="4"/>
        <v>1</v>
      </c>
      <c r="R31" s="37">
        <f>IF(M31=Year_Open_to_Traffic?,Calculations!$J$5,Calculations!R30+(Calculations!R30*Calculations!O31*Q31))</f>
        <v>12079351.482505688</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4.4253128748687136E-2</v>
      </c>
      <c r="F32" s="163">
        <f>F$26*'Value of Statistical Life'!F22*Appropriate_Crash_Reduction_Factor</f>
        <v>6.3048994425507618E-3</v>
      </c>
      <c r="G32" s="163">
        <f>G$26*'Value of Statistical Life'!G22*Appropriate_Crash_Reduction_Factor</f>
        <v>7.4796880539386033E-4</v>
      </c>
      <c r="H32" s="163">
        <f>H$26*'Value of Statistical Life'!H22*Appropriate_Crash_Reduction_Factor</f>
        <v>2.4830759286152138E-3</v>
      </c>
      <c r="I32" s="163">
        <f>I$26*'Value of Statistical Life'!I22*Appropriate_Crash_Reduction_Factor</f>
        <v>9.0230083039820452E-3</v>
      </c>
      <c r="J32" s="163">
        <f t="shared" si="9"/>
        <v>6.2812081229229016E-2</v>
      </c>
      <c r="K32" s="164"/>
      <c r="L32" s="136"/>
      <c r="M32" s="144">
        <f t="shared" si="1"/>
        <v>2046</v>
      </c>
      <c r="N32" s="145">
        <f t="shared" si="6"/>
        <v>32372.031063002501</v>
      </c>
      <c r="O32" s="146">
        <f t="shared" si="7"/>
        <v>3.6864735330737641E-2</v>
      </c>
      <c r="P32" s="147">
        <f t="shared" si="8"/>
        <v>0.74142653380597834</v>
      </c>
      <c r="Q32" s="148">
        <f t="shared" si="4"/>
        <v>1</v>
      </c>
      <c r="R32" s="37">
        <f>IF(M32=Year_Open_to_Traffic?,Calculations!$J$5,Calculations!R31+(Calculations!R31*Calculations!O32*Q32))</f>
        <v>12524653.577875214</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0.26323688475399809</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0.26323688475399809</v>
      </c>
      <c r="K33" s="164"/>
      <c r="L33" s="136"/>
      <c r="M33" s="144">
        <f t="shared" si="1"/>
        <v>2047</v>
      </c>
      <c r="N33" s="145">
        <f t="shared" si="6"/>
        <v>33565.417420258505</v>
      </c>
      <c r="O33" s="146">
        <f t="shared" si="7"/>
        <v>3.6864735330737641E-2</v>
      </c>
      <c r="P33" s="147">
        <f t="shared" si="8"/>
        <v>0.76875902674192198</v>
      </c>
      <c r="Q33" s="148">
        <f t="shared" si="4"/>
        <v>1</v>
      </c>
      <c r="R33" s="37">
        <f>IF(M33=Year_Open_to_Traffic?,Calculations!$J$5,Calculations!R32+(Calculations!R32*Calculations!O33*Q33))</f>
        <v>12986371.617132761</v>
      </c>
      <c r="S33" s="54">
        <f t="shared" si="0"/>
        <v>0</v>
      </c>
      <c r="T33" s="37">
        <f t="shared" si="5"/>
        <v>0</v>
      </c>
      <c r="U33" s="142">
        <f>T33/(1+Real_Discount_Rate)^(Calculations!M33-'Assumed Values'!$C$5)</f>
        <v>0</v>
      </c>
    </row>
    <row r="34" spans="1:21" ht="15.75" x14ac:dyDescent="0.25">
      <c r="J34" s="166"/>
      <c r="L34" s="136"/>
      <c r="M34" s="144">
        <f t="shared" si="1"/>
        <v>2048</v>
      </c>
      <c r="N34" s="145">
        <f t="shared" si="6"/>
        <v>34802.797649722066</v>
      </c>
      <c r="O34" s="146">
        <f t="shared" si="7"/>
        <v>3.6864735330737641E-2</v>
      </c>
      <c r="P34" s="147">
        <f t="shared" si="8"/>
        <v>0.79709912479587841</v>
      </c>
      <c r="Q34" s="148">
        <f t="shared" si="4"/>
        <v>1</v>
      </c>
      <c r="R34" s="37">
        <f>IF(M34=Year_Open_to_Traffic?,Calculations!$J$5,Calculations!R33+(Calculations!R33*Calculations!O34*Q34))</f>
        <v>13465110.769704964</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36085.793573848285</v>
      </c>
      <c r="O35" s="146">
        <f t="shared" si="7"/>
        <v>3.6864735330737641E-2</v>
      </c>
      <c r="P35" s="147">
        <f t="shared" si="8"/>
        <v>0.82648397306384114</v>
      </c>
      <c r="Q35" s="148">
        <f t="shared" si="4"/>
        <v>1</v>
      </c>
      <c r="R35" s="37">
        <f>IF(M35=Year_Open_to_Traffic?,Calculations!$J$5,Calculations!R34+(Calculations!R34*Calculations!O35*Q35))</f>
        <v>13961498.514429202</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37416.086803147831</v>
      </c>
      <c r="O36" s="146">
        <f t="shared" si="7"/>
        <v>3.6864735330737641E-2</v>
      </c>
      <c r="P36" s="147">
        <f t="shared" si="8"/>
        <v>0.85695208598593609</v>
      </c>
      <c r="Q36" s="148">
        <f t="shared" si="4"/>
        <v>1</v>
      </c>
      <c r="R36" s="37">
        <f>IF(M36=Year_Open_to_Traffic?,Calculations!$J$5,Calculations!R35+(Calculations!R35*Calculations!O36*Q36))</f>
        <v>14476185.461984122</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54989.58358476877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Drew Davis</cp:lastModifiedBy>
  <cp:lastPrinted>2018-10-09T14:35:18Z</cp:lastPrinted>
  <dcterms:created xsi:type="dcterms:W3CDTF">2012-07-25T15:48:32Z</dcterms:created>
  <dcterms:modified xsi:type="dcterms:W3CDTF">2018-10-24T14:54:29Z</dcterms:modified>
</cp:coreProperties>
</file>