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Aldine Westfeild (N-2013T-0015, N-100032)\"/>
    </mc:Choice>
  </mc:AlternateContent>
  <xr:revisionPtr revIDLastSave="0" documentId="10_ncr:100000_{4EA77EEE-EC71-41E0-9A18-CD1C256E475B}" xr6:coauthVersionLast="31" xr6:coauthVersionMax="31" xr10:uidLastSave="{00000000-0000-0000-0000-000000000000}"/>
  <bookViews>
    <workbookView xWindow="0" yWindow="0" windowWidth="24495" windowHeight="1113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Outputs'!$A$2:$H$50</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17"/>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<sst xmlns="http://schemas.openxmlformats.org/spreadsheetml/2006/main" count="291" uniqueCount="236">
  <si>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</si>
  <si>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</si>
  <si>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</si>
  <si>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</si>
  <si>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</si>
  <si>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</si>
  <si>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</si>
  <si>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</si>
  <si>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</si>
  <si>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</si>
  <si>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</si>
  <si>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</si>
  <si>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</si>
  <si>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</si>
  <si>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</si>
  <si>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</si>
  <si>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</si>
  <si>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</si>
  <si>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</si>
  <si>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</si>
  <si>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</si>
  <si>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</si>
  <si>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</si>
  <si>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</si>
  <si>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</si>
  <si>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</si>
  <si>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</si>
  <si>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</si>
  <si>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</si>
  <si>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</si>
  <si>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</si>
  <si>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</si>
  <si>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</si>
  <si>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</si>
  <si>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</si>
  <si>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</si>
  <si>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</si>
  <si>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</si>
  <si>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</si>
  <si>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</si>
  <si>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</si>
  <si>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</si>
  <si>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</si>
  <si>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</si>
  <si>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</si>
  <si>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</si>
  <si>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</si>
  <si>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</si>
  <si>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</si>
  <si>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</si>
  <si>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</si>
  <si>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</si>
  <si>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</si>
  <si>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</si>
  <si>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</si>
  <si>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</si>
  <si>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</si>
  <si>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</si>
  <si>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</si>
  <si>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</si>
  <si>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</si>
  <si>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</si>
  <si>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</si>
  <si>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</si>
  <si>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</si>
  <si>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</si>
  <si>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</si>
  <si>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</si>
  <si>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</si>
  <si>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</si>
  <si>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</si>
  <si>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</si>
  <si>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</si>
  <si>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</si>
  <si>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</si>
  <si>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</si>
  <si>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</si>
  <si>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</si>
  <si>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</si>
  <si>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</si>
  <si>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</si>
  <si>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</si>
  <si>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</si>
  <si>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</si>
  <si>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</si>
  <si>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</si>
  <si>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</si>
  <si>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</si>
  <si>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</si>
  <si>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</si>
  <si>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</si>
  <si>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</si>
  <si>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</si>
  <si>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</si>
  <si>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</si>
  <si>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</si>
  <si>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</si>
  <si>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</si>
  <si>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</si>
  <si>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</si>
  <si>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</si>
  <si>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</si>
  <si>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</si>
  <si>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</si>
  <si>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</si>
  <si>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</si>
  <si>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</si>
  <si>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</si>
  <si>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</si>
  <si>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</si>
  <si>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</si>
  <si>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</si>
  <si>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</si>
  <si>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</si>
  <si>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</si>
  <si>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</si>
  <si>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</si>
  <si>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</si>
  <si>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</si>
  <si>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</si>
  <si>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</si>
  <si>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</si>
  <si>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</si>
  <si>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</si>
  <si>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</si>
  <si>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</si>
  <si>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</si>
  <si>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</si>
  <si>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</si>
  <si>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</si>
  <si>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</si>
  <si>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</si>
  <si>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</si>
  <si>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</si>
  <si>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</si>
  <si>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</si>
  <si>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</si>
  <si>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</si>
  <si>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</si>
  <si>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</si>
  <si>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</si>
  <si>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</si>
  <si>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</si>
  <si>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</si>
  <si>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</si>
  <si>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</si>
  <si>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</si>
  <si>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</si>
  <si>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</si>
  <si>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</si>
  <si>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</si>
  <si>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</si>
  <si>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</si>
  <si>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</si>
  <si>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</si>
  <si>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</si>
  <si>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</si>
  <si>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</si>
  <si>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</si>
  <si>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</si>
  <si>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</si>
  <si>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</si>
  <si>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</si>
  <si>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</si>
  <si>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</si>
  <si>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</si>
  <si>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</si>
  <si>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</si>
  <si>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</si>
  <si>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</si>
  <si>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</si>
  <si>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</si>
  <si>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</si>
  <si>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</si>
  <si>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</si>
  <si>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</si>
  <si>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</si>
  <si>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</si>
  <si>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</si>
  <si>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</si>
  <si>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</si>
  <si>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</si>
  <si>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</si>
  <si>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</si>
  <si>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</si>
  <si>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</si>
  <si>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</si>
  <si>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</si>
  <si>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</si>
  <si>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</si>
  <si>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</si>
  <si>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</si>
  <si>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</si>
  <si>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</si>
  <si>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</si>
  <si>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</si>
  <si>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</si>
  <si>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</si>
  <si>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</si>
  <si>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</si>
  <si>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</si>
  <si>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</si>
  <si>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</si>
  <si>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</si>
  <si>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</si>
  <si>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</si>
  <si>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</si>
  <si>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</si>
  <si>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</si>
  <si>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</si>
  <si>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</si>
  <si>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</si>
  <si>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</si>
  <si>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</si>
  <si>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</si>
  <si>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</si>
  <si>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</si>
  <si>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</si>
  <si>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</si>
  <si>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</si>
  <si>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</si>
  <si>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</si>
  <si>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</si>
  <si>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</si>
  <si>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</si>
  <si>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</si>
  <si>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</si>
  <si>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</si>
  <si>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</si>
  <si>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</si>
  <si>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</si>
  <si>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</si>
  <si>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</si>
  <si>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Aldine Westfield</t>
  </si>
  <si>
    <t xml:space="preserve">Beltway 8 </t>
  </si>
  <si>
    <t>Little York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</si>
</sst>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I25*$B$18*$B$19/10^3</f>
        <v>0</v>
      </c>
    </row>
    <row r="26" spans="1:10" x14ac:dyDescent="0.25">
      <c r="G26" s="14">
        <f t="shared" si="0"/>
        <v>2037</v>
      </c>
      <c r="H26" s="14">
        <f t="shared" si="1"/>
        <v>1</v>
      </c>
      <c r="I26" s="24">
        <f t="shared" si="2"/>
        <v>0</v>
      </c>
      <c r="J26" s="38">
        <f>I26*$B$18*$B$19/10^3</f>
        <v>0</v>
      </c>
    </row>
    <row r="27" spans="1:10" x14ac:dyDescent="0.25">
      <c r="G27" s="15">
        <f t="shared" si="0"/>
        <v>2038</v>
      </c>
      <c r="H27" s="15">
        <f t="shared" si="1"/>
        <v>1</v>
      </c>
      <c r="I27" s="24">
        <f t="shared" si="2"/>
        <v>0</v>
      </c>
      <c r="J27" s="45">
        <f>I27*$B$18*$B$19/10^3</f>
        <v>0</v>
      </c>
    </row>
    <row r="28" spans="1:10" x14ac:dyDescent="0.25">
      <c r="G28" s="14">
        <f t="shared" si="0"/>
        <v>2039</v>
      </c>
      <c r="H28" s="14">
        <f t="shared" si="1"/>
        <v>1</v>
      </c>
      <c r="I28" s="24">
        <f t="shared" si="2"/>
        <v>0</v>
      </c>
      <c r="J28" s="38">
        <f>I28*$B$18*$B$19/10^3</f>
        <v>0</v>
      </c>
    </row>
    <row r="29" spans="1:10" x14ac:dyDescent="0.25">
      <c r="A29" s="29"/>
      <c r="G29" s="15">
        <f t="shared" si="0"/>
        <v>2040</v>
      </c>
      <c r="H29" s="15">
        <f t="shared" si="1"/>
        <v>1</v>
      </c>
      <c r="I29" s="24">
        <f t="shared" si="2"/>
        <v>0</v>
      </c>
      <c r="J29" s="45">
        <f>I29*$B$18*$B$19/10^3</f>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IF($G25&lt;($G$4+$E$5),$E$17,0)</f>
        <v>0</v>
      </c>
      <c r="I25" s="42" t="e">
        <f>H25*$B$20/10^3</f>
        <v>#REF!</v>
      </c>
      <c r="J25" s="41">
        <f>IF($G25&lt;($G$4+$E$5),$E$18,0)</f>
        <v>0</v>
      </c>
      <c r="K25" s="42" t="e">
        <f>J25*$B$21/10^3</f>
        <v>#REF!</v>
      </c>
    </row>
    <row r="26" spans="1:11" x14ac:dyDescent="0.25">
      <c r="G26" s="14">
        <f t="shared" si="2"/>
        <v>2037</v>
      </c>
      <c r="H26" s="41">
        <f>IF($G26&lt;($G$4+$E$5),$E$17,0)</f>
        <v>0</v>
      </c>
      <c r="I26" s="40" t="e">
        <f>H26*$B$20/10^3</f>
        <v>#REF!</v>
      </c>
      <c r="J26" s="41">
        <f>IF($G26&lt;($G$4+$E$5),$E$18,0)</f>
        <v>0</v>
      </c>
      <c r="K26" s="40" t="e">
        <f>J26*$B$21/10^3</f>
        <v>#REF!</v>
      </c>
    </row>
    <row r="27" spans="1:11" x14ac:dyDescent="0.25">
      <c r="G27" s="15">
        <f t="shared" si="2"/>
        <v>2038</v>
      </c>
      <c r="H27" s="41">
        <f>IF($G27&lt;($G$4+$E$5),$E$17,0)</f>
        <v>0</v>
      </c>
      <c r="I27" s="42" t="e">
        <f>H27*$B$20/10^3</f>
        <v>#REF!</v>
      </c>
      <c r="J27" s="41">
        <f>IF($G27&lt;($G$4+$E$5),$E$18,0)</f>
        <v>0</v>
      </c>
      <c r="K27" s="42" t="e">
        <f>J27*$B$21/10^3</f>
        <v>#REF!</v>
      </c>
    </row>
    <row r="28" spans="1:11" x14ac:dyDescent="0.25">
      <c r="G28" s="14">
        <f t="shared" si="2"/>
        <v>2039</v>
      </c>
      <c r="H28" s="41">
        <f>IF($G28&lt;($G$4+$E$5),$E$17,0)</f>
        <v>0</v>
      </c>
      <c r="I28" s="40" t="e">
        <f>H28*$B$20/10^3</f>
        <v>#REF!</v>
      </c>
      <c r="J28" s="41">
        <f>IF($G28&lt;($G$4+$E$5),$E$18,0)</f>
        <v>0</v>
      </c>
      <c r="K28" s="40" t="e">
        <f>J28*$B$21/10^3</f>
        <v>#REF!</v>
      </c>
    </row>
    <row r="29" spans="1:11" x14ac:dyDescent="0.25">
      <c r="G29" s="15">
        <f t="shared" si="2"/>
        <v>2040</v>
      </c>
      <c r="H29" s="41">
        <f>IF($G29&lt;($G$4+$E$5),$E$17,0)</f>
        <v>0</v>
      </c>
      <c r="I29" s="42" t="e">
        <f>H29*$B$20/10^3</f>
        <v>#REF!</v>
      </c>
      <c r="J29" s="41">
        <f>IF($G29&lt;($G$4+$E$5),$E$18,0)</f>
        <v>0</v>
      </c>
      <c r="K29" s="42" t="e">
        <f>J29*$B$21/10^3</f>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38" zoomScale="115" zoomScaleNormal="115" workbookViewId="0">
      <selection activeCell="H50" sqref="A2:H50"/>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x14ac:dyDescent="0.25">
      <c r="A6" s="8" t="s">
        <v>97</v>
      </c>
      <c r="B6" s="137" t="s">
        <v>233</v>
      </c>
      <c r="D6" s="8"/>
      <c r="E6" s="103" t="s">
        <v>187</v>
      </c>
    </row>
    <row r="7" spans="1:7" x14ac:dyDescent="0.25">
      <c r="A7" s="8" t="s">
        <v>98</v>
      </c>
      <c r="B7" s="138" t="s">
        <v>200</v>
      </c>
      <c r="D7" s="104"/>
      <c r="E7" s="103" t="s">
        <v>196</v>
      </c>
    </row>
    <row r="8" spans="1:7" x14ac:dyDescent="0.25">
      <c r="A8" s="8" t="s">
        <v>99</v>
      </c>
      <c r="B8" s="138" t="s">
        <v>206</v>
      </c>
      <c r="D8" s="105"/>
      <c r="E8" s="103" t="s">
        <v>216</v>
      </c>
    </row>
    <row r="9" spans="1:7" x14ac:dyDescent="0.25">
      <c r="A9" s="8" t="s">
        <v>100</v>
      </c>
      <c r="B9" s="138" t="s">
        <v>233</v>
      </c>
      <c r="D9" s="106"/>
      <c r="E9" s="103" t="s">
        <v>188</v>
      </c>
    </row>
    <row r="10" spans="1:7" x14ac:dyDescent="0.25">
      <c r="A10" s="8" t="s">
        <v>101</v>
      </c>
      <c r="B10" s="138" t="s">
        <v>234</v>
      </c>
    </row>
    <row r="11" spans="1:7" x14ac:dyDescent="0.25">
      <c r="A11" s="8" t="s">
        <v>102</v>
      </c>
      <c r="B11" s="138" t="s">
        <v>235</v>
      </c>
    </row>
    <row r="12" spans="1:7" x14ac:dyDescent="0.25">
      <c r="A12" s="8" t="s">
        <v>103</v>
      </c>
      <c r="B12" s="138">
        <v>3.6</v>
      </c>
    </row>
    <row r="13" spans="1:7" x14ac:dyDescent="0.25">
      <c r="A13" s="8" t="s">
        <v>68</v>
      </c>
      <c r="B13" s="138"/>
      <c r="F13" s="120"/>
    </row>
    <row r="14" spans="1:7" x14ac:dyDescent="0.25">
      <c r="A14" s="8" t="s">
        <v>69</v>
      </c>
      <c r="B14" s="138"/>
    </row>
    <row r="17" spans="1:7" x14ac:dyDescent="0.25">
      <c r="A17" s="119" t="s">
        <v>120</v>
      </c>
      <c r="E17" s="151" t="s">
        <v>231</v>
      </c>
      <c r="F17" s="152"/>
    </row>
    <row r="18" spans="1:7" x14ac:dyDescent="0.25">
      <c r="A18" s="8" t="s">
        <v>79</v>
      </c>
      <c r="B18" s="139">
        <v>2023</v>
      </c>
      <c r="E18" s="105" t="s">
        <v>232</v>
      </c>
      <c r="F18" s="145">
        <f>$B$12/$B$32</f>
        <v>0.13846153846153847</v>
      </c>
    </row>
    <row r="19" spans="1:7" ht="30" x14ac:dyDescent="0.25">
      <c r="A19" s="8" t="s">
        <v>121</v>
      </c>
      <c r="B19" s="140" t="s">
        <v>112</v>
      </c>
      <c r="E19" s="107" t="s">
        <v>212</v>
      </c>
      <c r="F19" s="146">
        <f>$B$12/$B$33</f>
        <v>0.21176470588235294</v>
      </c>
    </row>
    <row r="20" spans="1:7" ht="30" x14ac:dyDescent="0.25">
      <c r="A20" s="135" t="s">
        <v>208</v>
      </c>
      <c r="B20" s="136">
        <f>VLOOKUP(B19,'Delay Reduction Factors'!B4:C80,2, FALSE)</f>
        <v>0.3</v>
      </c>
      <c r="E20" s="107" t="s">
        <v>209</v>
      </c>
      <c r="F20" s="145">
        <f>$F$19-$F$18</f>
        <v>7.3303167420814469E-2</v>
      </c>
    </row>
    <row r="21" spans="1:7" x14ac:dyDescent="0.25">
      <c r="A21" s="8" t="s">
        <v>104</v>
      </c>
      <c r="B21" s="79">
        <v>30</v>
      </c>
      <c r="D21" s="121"/>
      <c r="E21" s="105" t="s">
        <v>210</v>
      </c>
      <c r="F21" s="145">
        <f>$F$20*$B$20</f>
        <v>2.1990950226244341E-2</v>
      </c>
      <c r="G21" s="122"/>
    </row>
    <row r="22" spans="1:7" s="113" customFormat="1" x14ac:dyDescent="0.25">
      <c r="D22" s="121"/>
      <c r="E22" s="105" t="s">
        <v>211</v>
      </c>
      <c r="F22" s="145">
        <f>$F$20-$F$21</f>
        <v>5.1312217194570131E-2</v>
      </c>
      <c r="G22" s="122"/>
    </row>
    <row r="23" spans="1:7" x14ac:dyDescent="0.25">
      <c r="E23" s="105" t="s">
        <v>213</v>
      </c>
      <c r="F23" s="145">
        <f>$F$18+$F$22</f>
        <v>0.1897737556561086</v>
      </c>
    </row>
    <row r="24" spans="1:7" x14ac:dyDescent="0.25">
      <c r="A24" s="119" t="s">
        <v>94</v>
      </c>
      <c r="B24" s="123"/>
      <c r="D24" s="121"/>
      <c r="G24" s="124"/>
    </row>
    <row r="25" spans="1:7" x14ac:dyDescent="0.25">
      <c r="A25" s="8" t="s">
        <v>218</v>
      </c>
      <c r="B25" s="141">
        <v>12964</v>
      </c>
      <c r="D25" s="121"/>
      <c r="G25" s="124"/>
    </row>
    <row r="28" spans="1:7" x14ac:dyDescent="0.25">
      <c r="A28" s="105" t="s">
        <v>227</v>
      </c>
      <c r="B28" s="134">
        <f>IF(FacilityType='Delay Reduction Factors'!N5,'Inputs &amp; Outputs'!B25*45%, B25*43%)</f>
        <v>5574.5199999999995</v>
      </c>
      <c r="D28" s="121"/>
      <c r="E28" s="125" t="s">
        <v>95</v>
      </c>
      <c r="F28" s="126" t="s">
        <v>20</v>
      </c>
      <c r="G28" s="127" t="s">
        <v>19</v>
      </c>
    </row>
    <row r="29" spans="1:7" x14ac:dyDescent="0.25">
      <c r="A29" s="105" t="s">
        <v>228</v>
      </c>
      <c r="B29" s="115">
        <f>VLOOKUP(Year_Open_to_Traffic?,Calculations!H4:I36,2)</f>
        <v>8813.0083397219514</v>
      </c>
      <c r="D29" s="121"/>
      <c r="E29" s="107" t="s">
        <v>122</v>
      </c>
      <c r="F29" s="101">
        <f>$B$29*$F$23</f>
        <v>1672.477691257641</v>
      </c>
      <c r="G29" s="102">
        <f>$B$29*$F$19</f>
        <v>1866.2841189999426</v>
      </c>
    </row>
    <row r="30" spans="1:7" x14ac:dyDescent="0.25">
      <c r="A30" s="124"/>
      <c r="B30" s="100"/>
      <c r="D30" s="121"/>
    </row>
    <row r="32" spans="1:7" x14ac:dyDescent="0.25">
      <c r="A32" s="128" t="s">
        <v>221</v>
      </c>
      <c r="B32" s="142">
        <v>26</v>
      </c>
      <c r="D32" s="121"/>
    </row>
    <row r="33" spans="1:7" ht="30" x14ac:dyDescent="0.25">
      <c r="A33" s="129" t="s">
        <v>222</v>
      </c>
      <c r="B33" s="143">
        <v>17</v>
      </c>
      <c r="D33" s="121"/>
      <c r="E33" s="121"/>
      <c r="F33" s="130"/>
      <c r="G33" s="117"/>
    </row>
    <row r="34" spans="1:7" x14ac:dyDescent="0.25">
      <c r="A34" s="131"/>
      <c r="B34" s="144"/>
      <c r="E34" s="117"/>
      <c r="F34" s="130"/>
      <c r="G34" s="130"/>
    </row>
    <row r="35" spans="1:7" x14ac:dyDescent="0.25">
      <c r="A35" s="105" t="s">
        <v>223</v>
      </c>
      <c r="B35" s="148">
        <f>$B$28</f>
        <v>5574.5199999999995</v>
      </c>
    </row>
    <row r="36" spans="1:7" x14ac:dyDescent="0.25">
      <c r="A36" s="128" t="s">
        <v>224</v>
      </c>
      <c r="B36" s="142">
        <v>11074</v>
      </c>
    </row>
    <row r="37" spans="1:7" x14ac:dyDescent="0.25">
      <c r="A37" s="128" t="s">
        <v>229</v>
      </c>
      <c r="B37" s="142">
        <v>10585</v>
      </c>
    </row>
    <row r="38" spans="1:7" x14ac:dyDescent="0.25">
      <c r="A38" s="128" t="s">
        <v>225</v>
      </c>
      <c r="B38" s="142">
        <v>21322</v>
      </c>
    </row>
    <row r="39" spans="1:7" x14ac:dyDescent="0.25">
      <c r="A39" s="128" t="s">
        <v>230</v>
      </c>
      <c r="B39" s="142">
        <v>15829</v>
      </c>
    </row>
    <row r="40" spans="1:7" x14ac:dyDescent="0.25">
      <c r="A40" s="128" t="s">
        <v>226</v>
      </c>
      <c r="B40" s="142">
        <v>21322</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23160.078319659136</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6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434844.19972698664</v>
      </c>
      <c r="F4" s="22">
        <f>'Inputs &amp; Outputs'!G29*Annual_Days_of_Travel</f>
        <v>485233.87093998509</v>
      </c>
      <c r="H4" s="59">
        <v>2018</v>
      </c>
      <c r="I4" s="60">
        <f>'Inputs &amp; Outputs'!B28</f>
        <v>5574.5199999999995</v>
      </c>
      <c r="J4" s="60">
        <f>IF(H4=Year_Open_to_Traffic?,$F$4,0)</f>
        <v>0</v>
      </c>
      <c r="K4" s="60">
        <f>IF(H4=Year_Open_to_Traffic?,Calculations!$E$4,0)</f>
        <v>0</v>
      </c>
      <c r="L4" s="60">
        <f>IF(AND(H4&gt;=Year_Open_to_Traffic?, Calculations!H4&lt;Year_Open_to_Traffic?+'Inputs &amp; Outputs'!B$21), 1, 0)</f>
        <v>0</v>
      </c>
      <c r="M4" s="81" t="s">
        <v>75</v>
      </c>
      <c r="N4" s="82">
        <f>MIN(E8,1)</f>
        <v>0.50338811630847025</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9.5931325213614915E-2</v>
      </c>
      <c r="F5" s="28"/>
      <c r="H5" s="15">
        <f t="shared" ref="H5:H36" si="3">H4+1</f>
        <v>2019</v>
      </c>
      <c r="I5" s="97">
        <f>(I4*M5)+I4</f>
        <v>6109.2910910297996</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9.5931325213614915E-2</v>
      </c>
      <c r="N5" s="87">
        <f t="shared" ref="N5:N11" si="6">N4*(1+IFERROR(_2018_2025_V_C_Growth,_2018_2045_V_C_Growth))</f>
        <v>0.50238897081612688</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2.0324067229131604E-2</v>
      </c>
      <c r="F6" s="28"/>
      <c r="H6" s="59">
        <f t="shared" si="3"/>
        <v>2020</v>
      </c>
      <c r="I6" s="97">
        <f t="shared" ref="I6:I36" si="10">(I5*M6)+I5</f>
        <v>6695.3634815080195</v>
      </c>
      <c r="J6" s="60">
        <f t="shared" si="4"/>
        <v>0</v>
      </c>
      <c r="K6" s="60">
        <f>IF(H6=Year_Open_to_Traffic?,Calculations!$E$4,K5+(K5*M6))</f>
        <v>0</v>
      </c>
      <c r="L6" s="60">
        <f>IF(AND(H6&gt;=Year_Open_to_Traffic?, Calculations!H6&lt;Year_Open_to_Traffic?+'Inputs &amp; Outputs'!B$21), 1, 0)</f>
        <v>0</v>
      </c>
      <c r="M6" s="81">
        <f t="shared" si="5"/>
        <v>9.5931325213614915E-2</v>
      </c>
      <c r="N6" s="87">
        <f t="shared" si="6"/>
        <v>0.50139180846896025</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3.9409995562478262E-2</v>
      </c>
      <c r="F7" s="28"/>
      <c r="H7" s="15">
        <f t="shared" si="3"/>
        <v>2021</v>
      </c>
      <c r="I7" s="97">
        <f t="shared" si="10"/>
        <v>7337.6585730759261</v>
      </c>
      <c r="J7" s="60">
        <f t="shared" si="4"/>
        <v>0</v>
      </c>
      <c r="K7" s="60">
        <f>IF(H7=Year_Open_to_Traffic?,Calculations!$E$4,K6+(K6*M7))</f>
        <v>0</v>
      </c>
      <c r="L7" s="60">
        <f>IF(AND(H7&gt;=Year_Open_to_Traffic?, Calculations!H7&lt;Year_Open_to_Traffic?+'Inputs &amp; Outputs'!B$21), 1, 0)</f>
        <v>0</v>
      </c>
      <c r="M7" s="81">
        <f t="shared" si="5"/>
        <v>9.5931325213614915E-2</v>
      </c>
      <c r="N7" s="87">
        <f t="shared" si="6"/>
        <v>0.50039662533074203</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0.50338811630847025</v>
      </c>
      <c r="F8" s="28"/>
      <c r="H8" s="59">
        <f t="shared" si="3"/>
        <v>2022</v>
      </c>
      <c r="I8" s="97">
        <f t="shared" si="10"/>
        <v>8041.5698839561428</v>
      </c>
      <c r="J8" s="60">
        <f t="shared" si="4"/>
        <v>0</v>
      </c>
      <c r="K8" s="60">
        <f>IF(H8=Year_Open_to_Traffic?,Calculations!$E$4,K7+(K7*M8))</f>
        <v>0</v>
      </c>
      <c r="L8" s="60">
        <f>IF(AND(H8&gt;=Year_Open_to_Traffic?, Calculations!H8&lt;Year_Open_to_Traffic?+'Inputs &amp; Outputs'!B$21), 1, 0)</f>
        <v>0</v>
      </c>
      <c r="M8" s="81">
        <f t="shared" si="5"/>
        <v>9.5931325213614915E-2</v>
      </c>
      <c r="N8" s="87">
        <f t="shared" si="6"/>
        <v>0.49940341747305667</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30</v>
      </c>
      <c r="D9" s="18" t="s">
        <v>65</v>
      </c>
      <c r="E9" s="23">
        <f>_2025_PeakVolume/_2025_Capacity</f>
        <v>0.49643560641590845</v>
      </c>
      <c r="F9" s="28"/>
      <c r="H9" s="15">
        <f t="shared" si="3"/>
        <v>2023</v>
      </c>
      <c r="I9" s="97">
        <f t="shared" si="10"/>
        <v>8813.0083397219514</v>
      </c>
      <c r="J9" s="60">
        <f t="shared" si="4"/>
        <v>485233.87093998509</v>
      </c>
      <c r="K9" s="60">
        <f>IF(H9=Year_Open_to_Traffic?,Calculations!$E$4,K8+(K8*M9))</f>
        <v>434844.19972698664</v>
      </c>
      <c r="L9" s="60">
        <f>IF(AND(H9&gt;=Year_Open_to_Traffic?, Calculations!H9&lt;Year_Open_to_Traffic?+'Inputs &amp; Outputs'!B$21), 1, 0)</f>
        <v>1</v>
      </c>
      <c r="M9" s="81">
        <f t="shared" si="5"/>
        <v>9.5931325213614915E-2</v>
      </c>
      <c r="N9" s="87">
        <f t="shared" si="6"/>
        <v>0.49841218097528583</v>
      </c>
      <c r="O9" s="88">
        <f t="shared" si="7"/>
        <v>1</v>
      </c>
      <c r="P9" s="84">
        <f t="shared" si="8"/>
        <v>50389.671212998452</v>
      </c>
      <c r="Q9" s="85">
        <f t="shared" si="0"/>
        <v>1</v>
      </c>
      <c r="R9" s="86">
        <f t="shared" si="1"/>
        <v>19.863344048684343</v>
      </c>
      <c r="S9" s="94">
        <f t="shared" si="2"/>
        <v>1391.2612523673843</v>
      </c>
      <c r="T9" s="80">
        <f t="shared" si="9"/>
        <v>991.95004498908509</v>
      </c>
      <c r="W9" s="73"/>
    </row>
    <row r="10" spans="1:24" x14ac:dyDescent="0.25">
      <c r="D10" s="18" t="s">
        <v>82</v>
      </c>
      <c r="E10" s="23">
        <f>_2045_PeakVolume/_2045_Capacity</f>
        <v>0.74237876371822531</v>
      </c>
      <c r="F10" s="28"/>
      <c r="H10" s="59">
        <f t="shared" si="3"/>
        <v>2024</v>
      </c>
      <c r="I10" s="97">
        <f t="shared" si="10"/>
        <v>9658.4519088701181</v>
      </c>
      <c r="J10" s="60">
        <f t="shared" si="4"/>
        <v>531782.99921779009</v>
      </c>
      <c r="K10" s="60">
        <f>IF(H10=Year_Open_to_Traffic?,Calculations!$E$4,K9+(K9*M10))</f>
        <v>476559.38006825029</v>
      </c>
      <c r="L10" s="60">
        <f>IF(AND(H10&gt;=Year_Open_to_Traffic?, Calculations!H10&lt;Year_Open_to_Traffic?+'Inputs &amp; Outputs'!B$21), 1, 0)</f>
        <v>1</v>
      </c>
      <c r="M10" s="81">
        <f t="shared" si="5"/>
        <v>9.5931325213614915E-2</v>
      </c>
      <c r="N10" s="87">
        <f t="shared" si="6"/>
        <v>0.49742291192459315</v>
      </c>
      <c r="O10" s="88">
        <f t="shared" si="7"/>
        <v>1</v>
      </c>
      <c r="P10" s="84">
        <f>(J10-K10)*L10</f>
        <v>55223.619149539794</v>
      </c>
      <c r="Q10" s="85">
        <f t="shared" si="0"/>
        <v>1</v>
      </c>
      <c r="R10" s="86">
        <f t="shared" si="1"/>
        <v>20.320200961804083</v>
      </c>
      <c r="S10" s="94">
        <f t="shared" si="2"/>
        <v>1559.7955041499254</v>
      </c>
      <c r="T10" s="80">
        <f t="shared" si="9"/>
        <v>1039.3576049342596</v>
      </c>
      <c r="W10" s="73"/>
    </row>
    <row r="11" spans="1:24" ht="30" customHeight="1" x14ac:dyDescent="0.25">
      <c r="A11" s="153" t="s">
        <v>219</v>
      </c>
      <c r="B11" s="154"/>
      <c r="D11" s="18" t="s">
        <v>70</v>
      </c>
      <c r="E11" s="46">
        <f>(E9/E8)^(1/(2025-2018))-1</f>
        <v>-1.9848412387452052E-3</v>
      </c>
      <c r="F11" s="28"/>
      <c r="H11" s="15">
        <f t="shared" si="3"/>
        <v>2025</v>
      </c>
      <c r="I11" s="97">
        <f t="shared" si="10"/>
        <v>10584.999999999996</v>
      </c>
      <c r="J11" s="60">
        <f t="shared" si="4"/>
        <v>582797.64705882338</v>
      </c>
      <c r="K11" s="60">
        <f>IF(H11=Year_Open_to_Traffic?,Calculations!$E$4,K10+(K10*M11))</f>
        <v>522276.35294117633</v>
      </c>
      <c r="L11" s="60">
        <f>IF(AND(H11&gt;=Year_Open_to_Traffic?, Calculations!H11&lt;Year_Open_to_Traffic?+'Inputs &amp; Outputs'!B$21), 1, 0)</f>
        <v>1</v>
      </c>
      <c r="M11" s="81">
        <f t="shared" si="5"/>
        <v>9.5931325213614915E-2</v>
      </c>
      <c r="N11" s="87">
        <f t="shared" si="6"/>
        <v>0.4964356064159085</v>
      </c>
      <c r="O11" s="88">
        <f t="shared" si="7"/>
        <v>1</v>
      </c>
      <c r="P11" s="84">
        <f t="shared" si="8"/>
        <v>60521.294117647049</v>
      </c>
      <c r="Q11" s="85">
        <f t="shared" si="0"/>
        <v>1</v>
      </c>
      <c r="R11" s="86">
        <f t="shared" si="1"/>
        <v>20.787565583925574</v>
      </c>
      <c r="S11" s="94">
        <f t="shared" si="2"/>
        <v>1748.7456152655454</v>
      </c>
      <c r="T11" s="80">
        <f t="shared" si="9"/>
        <v>1089.030880528429</v>
      </c>
      <c r="W11" s="73"/>
    </row>
    <row r="12" spans="1:24" x14ac:dyDescent="0.25">
      <c r="A12" s="18" t="s">
        <v>205</v>
      </c>
      <c r="B12" s="19">
        <v>0.45</v>
      </c>
      <c r="D12" s="18" t="s">
        <v>83</v>
      </c>
      <c r="E12" s="46">
        <f>(E10/E9)^(1/(2045-2025))-1</f>
        <v>2.0324067229131604E-2</v>
      </c>
      <c r="F12" s="28"/>
      <c r="H12" s="59">
        <v>2026</v>
      </c>
      <c r="I12" s="97">
        <f t="shared" si="10"/>
        <v>10800.130251620354</v>
      </c>
      <c r="J12" s="60">
        <f t="shared" si="4"/>
        <v>594642.46561862656</v>
      </c>
      <c r="K12" s="60">
        <f>IF(H12=Year_Open_to_Traffic?,Calculations!$E$4,K11+(K11*M12))</f>
        <v>532891.13265053846</v>
      </c>
      <c r="L12" s="60">
        <f>IF(AND(H12&gt;=Year_Open_to_Traffic?, Calculations!H12&lt;Year_Open_to_Traffic?+'Inputs &amp; Outputs'!B$21), 1, 0)</f>
        <v>1</v>
      </c>
      <c r="M12" s="81">
        <f t="shared" ref="M12:M36" si="11">IFERROR(_2025_2045_Demand_Growth,_2018_2045_Demand_Growth)</f>
        <v>2.0324067229131604E-2</v>
      </c>
      <c r="N12" s="87">
        <f t="shared" ref="N12:N36" si="12">N11*(1+IFERROR(_2025_2045_V_C_Growth,_2018_2045_V_C_Growth))</f>
        <v>0.50652519705564014</v>
      </c>
      <c r="O12" s="88">
        <f t="shared" si="7"/>
        <v>1</v>
      </c>
      <c r="P12" s="84">
        <f t="shared" si="8"/>
        <v>61751.3329680881</v>
      </c>
      <c r="Q12" s="85">
        <f t="shared" si="0"/>
        <v>1</v>
      </c>
      <c r="R12" s="86">
        <f t="shared" si="1"/>
        <v>21.265679592355859</v>
      </c>
      <c r="S12" s="94">
        <f t="shared" si="2"/>
        <v>1825.3258452073371</v>
      </c>
      <c r="T12" s="80">
        <f t="shared" si="9"/>
        <v>1062.3562607085441</v>
      </c>
      <c r="W12" s="73"/>
    </row>
    <row r="13" spans="1:24" x14ac:dyDescent="0.25">
      <c r="A13" s="18" t="s">
        <v>206</v>
      </c>
      <c r="B13" s="19">
        <v>0.43</v>
      </c>
      <c r="D13" s="18" t="s">
        <v>84</v>
      </c>
      <c r="E13" s="46">
        <f>(E10/E8)^(1/(2045-2018))-1</f>
        <v>1.4492835886704469E-2</v>
      </c>
      <c r="F13" s="28"/>
      <c r="H13" s="15">
        <f t="shared" si="3"/>
        <v>2027</v>
      </c>
      <c r="I13" s="97">
        <f t="shared" si="10"/>
        <v>11019.632824937664</v>
      </c>
      <c r="J13" s="60">
        <f t="shared" si="4"/>
        <v>606728.01906715613</v>
      </c>
      <c r="K13" s="60">
        <f>IF(H13=Year_Open_to_Traffic?,Calculations!$E$4,K12+(K12*M13))</f>
        <v>543721.64785633609</v>
      </c>
      <c r="L13" s="60">
        <f>IF(AND(H13&gt;=Year_Open_to_Traffic?, Calculations!H13&lt;Year_Open_to_Traffic?+'Inputs &amp; Outputs'!B$21), 1, 0)</f>
        <v>1</v>
      </c>
      <c r="M13" s="81">
        <f t="shared" si="11"/>
        <v>2.0324067229131604E-2</v>
      </c>
      <c r="N13" s="87">
        <f t="shared" si="12"/>
        <v>0.51681984921384816</v>
      </c>
      <c r="O13" s="88">
        <f t="shared" si="7"/>
        <v>1</v>
      </c>
      <c r="P13" s="84">
        <f t="shared" si="8"/>
        <v>63006.371210820042</v>
      </c>
      <c r="Q13" s="85">
        <f t="shared" si="0"/>
        <v>1</v>
      </c>
      <c r="R13" s="86">
        <f t="shared" si="1"/>
        <v>21.754790222980041</v>
      </c>
      <c r="S13" s="94">
        <f t="shared" si="2"/>
        <v>1905.2596398796125</v>
      </c>
      <c r="T13" s="80">
        <f t="shared" si="9"/>
        <v>1036.3350065142436</v>
      </c>
      <c r="W13" s="73"/>
    </row>
    <row r="14" spans="1:24" x14ac:dyDescent="0.25">
      <c r="H14" s="59">
        <f>H13+1</f>
        <v>2028</v>
      </c>
      <c r="I14" s="97">
        <f t="shared" si="10"/>
        <v>11243.596583312043</v>
      </c>
      <c r="J14" s="60">
        <f t="shared" si="4"/>
        <v>619059.20011647488</v>
      </c>
      <c r="K14" s="60">
        <f>IF(H14=Year_Open_to_Traffic?,Calculations!$E$4,K13+(K13*M14))</f>
        <v>554772.28318130248</v>
      </c>
      <c r="L14" s="60">
        <f>IF(AND(H14&gt;=Year_Open_to_Traffic?, Calculations!H14&lt;Year_Open_to_Traffic?+'Inputs &amp; Outputs'!B$21), 1, 0)</f>
        <v>1</v>
      </c>
      <c r="M14" s="81">
        <f t="shared" si="11"/>
        <v>2.0324067229131604E-2</v>
      </c>
      <c r="N14" s="87">
        <f t="shared" si="12"/>
        <v>0.52732373057462012</v>
      </c>
      <c r="O14" s="88">
        <f t="shared" si="7"/>
        <v>1</v>
      </c>
      <c r="P14" s="84">
        <f t="shared" si="8"/>
        <v>64286.916935172398</v>
      </c>
      <c r="Q14" s="85">
        <f t="shared" si="0"/>
        <v>1</v>
      </c>
      <c r="R14" s="86">
        <f t="shared" si="1"/>
        <v>22.255150398108579</v>
      </c>
      <c r="S14" s="94">
        <f t="shared" si="2"/>
        <v>1988.6938569819351</v>
      </c>
      <c r="T14" s="80">
        <f t="shared" si="9"/>
        <v>1010.9511144694285</v>
      </c>
      <c r="W14" s="73"/>
    </row>
    <row r="15" spans="1:24" x14ac:dyDescent="0.25">
      <c r="H15" s="15">
        <f t="shared" si="3"/>
        <v>2029</v>
      </c>
      <c r="I15" s="97">
        <f t="shared" si="10"/>
        <v>11472.112196168511</v>
      </c>
      <c r="J15" s="60">
        <f t="shared" si="4"/>
        <v>631641.00091845461</v>
      </c>
      <c r="K15" s="60">
        <f>IF(H15=Year_Open_to_Traffic?,Calculations!$E$4,K14+(K14*M15))</f>
        <v>566047.51236153813</v>
      </c>
      <c r="L15" s="60">
        <f>IF(AND(H15&gt;=Year_Open_to_Traffic?, Calculations!H15&lt;Year_Open_to_Traffic?+'Inputs &amp; Outputs'!B$21), 1, 0)</f>
        <v>1</v>
      </c>
      <c r="M15" s="81">
        <f t="shared" si="11"/>
        <v>2.0324067229131604E-2</v>
      </c>
      <c r="N15" s="87">
        <f t="shared" si="12"/>
        <v>0.53804109352633522</v>
      </c>
      <c r="O15" s="88">
        <f t="shared" si="7"/>
        <v>1</v>
      </c>
      <c r="P15" s="84">
        <f t="shared" si="8"/>
        <v>65593.488556916476</v>
      </c>
      <c r="Q15" s="85">
        <f t="shared" si="0"/>
        <v>1</v>
      </c>
      <c r="R15" s="86">
        <f t="shared" si="1"/>
        <v>22.767018857265079</v>
      </c>
      <c r="S15" s="94">
        <f t="shared" si="2"/>
        <v>2075.7817853358747</v>
      </c>
      <c r="T15" s="80">
        <f t="shared" si="9"/>
        <v>986.18897308563783</v>
      </c>
      <c r="W15" s="73"/>
    </row>
    <row r="16" spans="1:24" x14ac:dyDescent="0.25">
      <c r="H16" s="59">
        <f t="shared" si="3"/>
        <v>2030</v>
      </c>
      <c r="I16" s="97">
        <f t="shared" si="10"/>
        <v>11705.272175703582</v>
      </c>
      <c r="J16" s="60">
        <f t="shared" si="4"/>
        <v>644478.51508579729</v>
      </c>
      <c r="K16" s="60">
        <f>IF(H16=Year_Open_to_Traffic?,Calculations!$E$4,K15+(K15*M16))</f>
        <v>577551.90005765669</v>
      </c>
      <c r="L16" s="60">
        <f>IF(AND(H16&gt;=Year_Open_to_Traffic?, Calculations!H16&lt;Year_Open_to_Traffic?+'Inputs &amp; Outputs'!B$21), 1, 0)</f>
        <v>1</v>
      </c>
      <c r="M16" s="81">
        <f t="shared" si="11"/>
        <v>2.0324067229131604E-2</v>
      </c>
      <c r="N16" s="87">
        <f t="shared" si="12"/>
        <v>0.54897627688319994</v>
      </c>
      <c r="O16" s="88">
        <f t="shared" si="7"/>
        <v>1</v>
      </c>
      <c r="P16" s="84">
        <f t="shared" si="8"/>
        <v>66926.615028140601</v>
      </c>
      <c r="Q16" s="85">
        <f t="shared" si="0"/>
        <v>1</v>
      </c>
      <c r="R16" s="86">
        <f t="shared" si="1"/>
        <v>23.290660290982171</v>
      </c>
      <c r="S16" s="94">
        <f t="shared" si="2"/>
        <v>2166.6834265136131</v>
      </c>
      <c r="T16" s="80">
        <f t="shared" si="9"/>
        <v>962.03335326073909</v>
      </c>
      <c r="W16" s="73"/>
    </row>
    <row r="17" spans="1:23" x14ac:dyDescent="0.25">
      <c r="A17" s="29"/>
      <c r="H17" s="15">
        <f t="shared" si="3"/>
        <v>2031</v>
      </c>
      <c r="I17" s="97">
        <f t="shared" si="10"/>
        <v>11943.170914337865</v>
      </c>
      <c r="J17" s="60">
        <f t="shared" si="4"/>
        <v>657576.93975413195</v>
      </c>
      <c r="K17" s="60">
        <f>IF(H17=Year_Open_to_Traffic?,Calculations!$E$4,K16+(K16*M17))</f>
        <v>589290.10370274121</v>
      </c>
      <c r="L17" s="60">
        <f>IF(AND(H17&gt;=Year_Open_to_Traffic?, Calculations!H17&lt;Year_Open_to_Traffic?+'Inputs &amp; Outputs'!B$21), 1, 0)</f>
        <v>1</v>
      </c>
      <c r="M17" s="81">
        <f t="shared" si="11"/>
        <v>2.0324067229131604E-2</v>
      </c>
      <c r="N17" s="87">
        <f t="shared" si="12"/>
        <v>0.5601337076417725</v>
      </c>
      <c r="O17" s="88">
        <f t="shared" si="7"/>
        <v>1</v>
      </c>
      <c r="P17" s="84">
        <f t="shared" si="8"/>
        <v>68286.836051390739</v>
      </c>
      <c r="Q17" s="85">
        <f t="shared" si="0"/>
        <v>1</v>
      </c>
      <c r="R17" s="86">
        <f t="shared" si="1"/>
        <v>23.82634547767476</v>
      </c>
      <c r="S17" s="94">
        <f t="shared" si="2"/>
        <v>2261.5657887995026</v>
      </c>
      <c r="T17" s="80">
        <f t="shared" si="9"/>
        <v>938.46939891279067</v>
      </c>
      <c r="W17" s="73"/>
    </row>
    <row r="18" spans="1:23" x14ac:dyDescent="0.25">
      <c r="H18" s="59">
        <f t="shared" si="3"/>
        <v>2032</v>
      </c>
      <c r="I18" s="97">
        <f t="shared" si="10"/>
        <v>12185.904722929878</v>
      </c>
      <c r="J18" s="60">
        <f t="shared" si="4"/>
        <v>670941.57768602157</v>
      </c>
      <c r="K18" s="60">
        <f>IF(H18=Year_Open_to_Traffic?,Calculations!$E$4,K17+(K17*M18))</f>
        <v>601266.87538785767</v>
      </c>
      <c r="L18" s="60">
        <f>IF(AND(H18&gt;=Year_Open_to_Traffic?, Calculations!H18&lt;Year_Open_to_Traffic?+'Inputs &amp; Outputs'!B$21), 1, 0)</f>
        <v>1</v>
      </c>
      <c r="M18" s="81">
        <f t="shared" si="11"/>
        <v>2.0324067229131604E-2</v>
      </c>
      <c r="N18" s="87">
        <f t="shared" si="12"/>
        <v>0.57151790277318659</v>
      </c>
      <c r="O18" s="88">
        <f t="shared" si="7"/>
        <v>1</v>
      </c>
      <c r="P18" s="84">
        <f t="shared" si="8"/>
        <v>69674.702298163902</v>
      </c>
      <c r="Q18" s="85">
        <f t="shared" si="0"/>
        <v>1</v>
      </c>
      <c r="R18" s="86">
        <f t="shared" si="1"/>
        <v>24.374351423661277</v>
      </c>
      <c r="S18" s="94">
        <f t="shared" si="2"/>
        <v>2360.6031940246535</v>
      </c>
      <c r="T18" s="80">
        <f t="shared" si="9"/>
        <v>915.48261784332601</v>
      </c>
      <c r="W18" s="73"/>
    </row>
    <row r="19" spans="1:23" x14ac:dyDescent="0.25">
      <c r="H19" s="15">
        <f t="shared" si="3"/>
        <v>2033</v>
      </c>
      <c r="I19" s="97">
        <f t="shared" si="10"/>
        <v>12433.571869766496</v>
      </c>
      <c r="J19" s="60">
        <f t="shared" si="4"/>
        <v>684577.83941773186</v>
      </c>
      <c r="K19" s="60">
        <f>IF(H19=Year_Open_to_Traffic?,Calculations!$E$4,K18+(K18*M19))</f>
        <v>613487.06378589035</v>
      </c>
      <c r="L19" s="60">
        <f>IF(AND(H19&gt;=Year_Open_to_Traffic?, Calculations!H19&lt;Year_Open_to_Traffic?+'Inputs &amp; Outputs'!B$21), 1, 0)</f>
        <v>1</v>
      </c>
      <c r="M19" s="81">
        <f t="shared" si="11"/>
        <v>2.0324067229131604E-2</v>
      </c>
      <c r="N19" s="87">
        <f t="shared" si="12"/>
        <v>0.58313347105180113</v>
      </c>
      <c r="O19" s="88">
        <f t="shared" si="7"/>
        <v>1</v>
      </c>
      <c r="P19" s="84">
        <f t="shared" si="8"/>
        <v>71090.775631841505</v>
      </c>
      <c r="Q19" s="85">
        <f t="shared" si="0"/>
        <v>1</v>
      </c>
      <c r="R19" s="86">
        <f t="shared" si="1"/>
        <v>24.934961506405479</v>
      </c>
      <c r="S19" s="94">
        <f t="shared" si="2"/>
        <v>2463.9775978382622</v>
      </c>
      <c r="T19" s="80">
        <f t="shared" si="9"/>
        <v>893.05887282442097</v>
      </c>
      <c r="W19" s="73"/>
    </row>
    <row r="20" spans="1:23" x14ac:dyDescent="0.25">
      <c r="H20" s="59">
        <f t="shared" si="3"/>
        <v>2034</v>
      </c>
      <c r="I20" s="97">
        <f t="shared" si="10"/>
        <v>12686.27262034587</v>
      </c>
      <c r="J20" s="60">
        <f t="shared" si="4"/>
        <v>698491.24544963147</v>
      </c>
      <c r="K20" s="60">
        <f>IF(H20=Year_Open_to_Traffic?,Calculations!$E$4,K19+(K19*M20))</f>
        <v>625955.61611447728</v>
      </c>
      <c r="L20" s="60">
        <f>IF(AND(H20&gt;=Year_Open_to_Traffic?, Calculations!H20&lt;Year_Open_to_Traffic?+'Inputs &amp; Outputs'!B$21), 1, 0)</f>
        <v>1</v>
      </c>
      <c r="M20" s="81">
        <f t="shared" si="11"/>
        <v>2.0324067229131604E-2</v>
      </c>
      <c r="N20" s="87">
        <f t="shared" si="12"/>
        <v>0.5949851149210148</v>
      </c>
      <c r="O20" s="88">
        <f t="shared" si="7"/>
        <v>1</v>
      </c>
      <c r="P20" s="84">
        <f t="shared" si="8"/>
        <v>72535.629335154197</v>
      </c>
      <c r="Q20" s="85">
        <f t="shared" si="0"/>
        <v>1</v>
      </c>
      <c r="R20" s="86">
        <f t="shared" si="1"/>
        <v>25.508465621052807</v>
      </c>
      <c r="S20" s="94">
        <f t="shared" si="2"/>
        <v>2571.8789240041219</v>
      </c>
      <c r="T20" s="80">
        <f t="shared" si="9"/>
        <v>871.18437290408315</v>
      </c>
      <c r="W20" s="73"/>
    </row>
    <row r="21" spans="1:23" x14ac:dyDescent="0.25">
      <c r="H21" s="15">
        <f t="shared" si="3"/>
        <v>2035</v>
      </c>
      <c r="I21" s="97">
        <f t="shared" si="10"/>
        <v>12944.109277968872</v>
      </c>
      <c r="J21" s="60">
        <f t="shared" si="4"/>
        <v>712687.42848110967</v>
      </c>
      <c r="K21" s="60">
        <f>IF(H21=Year_Open_to_Traffic?,Calculations!$E$4,K20+(K20*M21))</f>
        <v>638677.58013884036</v>
      </c>
      <c r="L21" s="60">
        <f>IF(AND(H21&gt;=Year_Open_to_Traffic?, Calculations!H21&lt;Year_Open_to_Traffic?+'Inputs &amp; Outputs'!B$21), 1, 0)</f>
        <v>1</v>
      </c>
      <c r="M21" s="81">
        <f t="shared" si="11"/>
        <v>2.0324067229131604E-2</v>
      </c>
      <c r="N21" s="87">
        <f t="shared" si="12"/>
        <v>0.60707763239700208</v>
      </c>
      <c r="O21" s="88">
        <f t="shared" si="7"/>
        <v>1</v>
      </c>
      <c r="P21" s="84">
        <f t="shared" si="8"/>
        <v>74009.84834226931</v>
      </c>
      <c r="Q21" s="85">
        <f t="shared" si="0"/>
        <v>1</v>
      </c>
      <c r="R21" s="86">
        <f t="shared" si="1"/>
        <v>26.095160330337016</v>
      </c>
      <c r="S21" s="94">
        <f t="shared" si="2"/>
        <v>2684.5054133364683</v>
      </c>
      <c r="T21" s="80">
        <f t="shared" si="9"/>
        <v>849.84566492459658</v>
      </c>
      <c r="W21" s="73"/>
    </row>
    <row r="22" spans="1:23" x14ac:dyDescent="0.25">
      <c r="H22" s="59">
        <f>H21+1</f>
        <v>2036</v>
      </c>
      <c r="I22" s="97">
        <f t="shared" si="10"/>
        <v>13207.186225155538</v>
      </c>
      <c r="J22" s="60">
        <f t="shared" si="4"/>
        <v>727172.13569091668</v>
      </c>
      <c r="K22" s="60">
        <f>IF(H22=Year_Open_to_Traffic?,Calculations!$E$4,K21+(K21*M22))</f>
        <v>651658.10621532123</v>
      </c>
      <c r="L22" s="60">
        <f>IF(AND(H22&gt;=Year_Open_to_Traffic?, Calculations!H22&lt;Year_Open_to_Traffic?+'Inputs &amp; Outputs'!B$21), 1, 0)</f>
        <v>1</v>
      </c>
      <c r="M22" s="81">
        <f t="shared" si="11"/>
        <v>2.0324067229131604E-2</v>
      </c>
      <c r="N22" s="87">
        <f t="shared" si="12"/>
        <v>0.61941591901114079</v>
      </c>
      <c r="O22" s="88">
        <f t="shared" si="7"/>
        <v>1</v>
      </c>
      <c r="P22" s="84">
        <f t="shared" si="8"/>
        <v>75514.029475595453</v>
      </c>
      <c r="Q22" s="85">
        <f t="shared" si="0"/>
        <v>1</v>
      </c>
      <c r="R22" s="86">
        <f t="shared" si="1"/>
        <v>26.695349017934767</v>
      </c>
      <c r="S22" s="94">
        <f t="shared" si="2"/>
        <v>2802.0639879162713</v>
      </c>
      <c r="T22" s="80">
        <f t="shared" si="9"/>
        <v>829.02962524862369</v>
      </c>
      <c r="W22" s="73"/>
    </row>
    <row r="23" spans="1:23" x14ac:dyDescent="0.25">
      <c r="H23" s="15">
        <f t="shared" si="3"/>
        <v>2037</v>
      </c>
      <c r="I23" s="97">
        <f t="shared" si="10"/>
        <v>13475.609965903259</v>
      </c>
      <c r="J23" s="60">
        <f t="shared" si="4"/>
        <v>741951.23106385011</v>
      </c>
      <c r="K23" s="60">
        <f>IF(H23=Year_Open_to_Traffic?,Calculations!$E$4,K22+(K22*M23))</f>
        <v>664902.44937645004</v>
      </c>
      <c r="L23" s="60">
        <f>IF(AND(H23&gt;=Year_Open_to_Traffic?, Calculations!H23&lt;Year_Open_to_Traffic?+'Inputs &amp; Outputs'!B$21), 1, 0)</f>
        <v>1</v>
      </c>
      <c r="M23" s="81">
        <f t="shared" si="11"/>
        <v>2.0324067229131604E-2</v>
      </c>
      <c r="N23" s="87">
        <f t="shared" si="12"/>
        <v>0.63200496979191756</v>
      </c>
      <c r="O23" s="88">
        <f t="shared" si="7"/>
        <v>1</v>
      </c>
      <c r="P23" s="84">
        <f t="shared" si="8"/>
        <v>77048.781687400071</v>
      </c>
      <c r="Q23" s="85">
        <f t="shared" si="0"/>
        <v>1</v>
      </c>
      <c r="R23" s="86">
        <f t="shared" si="1"/>
        <v>27.309342045347261</v>
      </c>
      <c r="S23" s="94">
        <f t="shared" si="2"/>
        <v>2924.7706312571108</v>
      </c>
      <c r="T23" s="80">
        <f t="shared" si="9"/>
        <v>808.72345168796448</v>
      </c>
      <c r="W23" s="73"/>
    </row>
    <row r="24" spans="1:23" x14ac:dyDescent="0.25">
      <c r="H24" s="59">
        <f t="shared" si="3"/>
        <v>2038</v>
      </c>
      <c r="I24" s="97">
        <f t="shared" si="10"/>
        <v>13749.489168803833</v>
      </c>
      <c r="J24" s="60">
        <f t="shared" si="4"/>
        <v>757030.6977647288</v>
      </c>
      <c r="K24" s="60">
        <f>IF(H24=Year_Open_to_Traffic?,Calculations!$E$4,K23+(K23*M24))</f>
        <v>678415.97145839129</v>
      </c>
      <c r="L24" s="60">
        <f>IF(AND(H24&gt;=Year_Open_to_Traffic?, Calculations!H24&lt;Year_Open_to_Traffic?+'Inputs &amp; Outputs'!B$21), 1, 0)</f>
        <v>1</v>
      </c>
      <c r="M24" s="81">
        <f t="shared" si="11"/>
        <v>2.0324067229131604E-2</v>
      </c>
      <c r="N24" s="87">
        <f t="shared" si="12"/>
        <v>0.64484988128711374</v>
      </c>
      <c r="O24" s="88">
        <f t="shared" si="7"/>
        <v>1</v>
      </c>
      <c r="P24" s="84">
        <f>(J24-K24)*L24</f>
        <v>78614.726306337514</v>
      </c>
      <c r="Q24" s="85">
        <f t="shared" si="0"/>
        <v>1</v>
      </c>
      <c r="R24" s="86">
        <f t="shared" si="1"/>
        <v>27.93745691239025</v>
      </c>
      <c r="S24" s="94">
        <f t="shared" si="2"/>
        <v>3052.8507851190921</v>
      </c>
      <c r="T24" s="80">
        <f t="shared" si="9"/>
        <v>788.91465563001191</v>
      </c>
      <c r="W24" s="73"/>
    </row>
    <row r="25" spans="1:23" x14ac:dyDescent="0.25">
      <c r="H25" s="15">
        <f t="shared" si="3"/>
        <v>2039</v>
      </c>
      <c r="I25" s="97">
        <f t="shared" si="10"/>
        <v>14028.93471103682</v>
      </c>
      <c r="J25" s="60">
        <f t="shared" si="4"/>
        <v>772416.64056061557</v>
      </c>
      <c r="K25" s="60">
        <f>IF(H25=Year_Open_to_Traffic?,Calculations!$E$4,K24+(K24*M25))</f>
        <v>692204.1432716283</v>
      </c>
      <c r="L25" s="60">
        <f>IF(AND(H25&gt;=Year_Open_to_Traffic?, Calculations!H25&lt;Year_Open_to_Traffic?+'Inputs &amp; Outputs'!B$21), 1, 0)</f>
        <v>1</v>
      </c>
      <c r="M25" s="81">
        <f t="shared" si="11"/>
        <v>2.0324067229131604E-2</v>
      </c>
      <c r="N25" s="87">
        <f t="shared" si="12"/>
        <v>0.65795585362709053</v>
      </c>
      <c r="O25" s="88">
        <f t="shared" si="7"/>
        <v>1</v>
      </c>
      <c r="P25" s="84">
        <f t="shared" si="8"/>
        <v>80212.497288987273</v>
      </c>
      <c r="Q25" s="85">
        <f t="shared" si="0"/>
        <v>1</v>
      </c>
      <c r="R25" s="86">
        <f t="shared" si="1"/>
        <v>28.580018421375218</v>
      </c>
      <c r="S25" s="94">
        <f t="shared" si="2"/>
        <v>3186.5397636998341</v>
      </c>
      <c r="T25" s="80">
        <f t="shared" si="9"/>
        <v>769.59105435705783</v>
      </c>
      <c r="W25" s="73"/>
    </row>
    <row r="26" spans="1:23" x14ac:dyDescent="0.25">
      <c r="H26" s="59">
        <f t="shared" si="3"/>
        <v>2040</v>
      </c>
      <c r="I26" s="97">
        <f t="shared" si="10"/>
        <v>14314.059723257031</v>
      </c>
      <c r="J26" s="60">
        <f t="shared" si="4"/>
        <v>788115.28829226946</v>
      </c>
      <c r="K26" s="60">
        <f>IF(H26=Year_Open_to_Traffic?,Calculations!$E$4,K25+(K25*M26))</f>
        <v>706272.54681576428</v>
      </c>
      <c r="L26" s="60">
        <f>IF(AND(H26&gt;=Year_Open_to_Traffic?, Calculations!H26&lt;Year_Open_to_Traffic?+'Inputs &amp; Outputs'!B$21), 1, 0)</f>
        <v>1</v>
      </c>
      <c r="M26" s="81">
        <f t="shared" si="11"/>
        <v>2.0324067229131604E-2</v>
      </c>
      <c r="N26" s="87">
        <f t="shared" si="12"/>
        <v>0.6713281926300082</v>
      </c>
      <c r="O26" s="88">
        <f t="shared" si="7"/>
        <v>1</v>
      </c>
      <c r="P26" s="84">
        <f t="shared" si="8"/>
        <v>81842.74147650518</v>
      </c>
      <c r="Q26" s="85">
        <f t="shared" si="0"/>
        <v>1</v>
      </c>
      <c r="R26" s="86">
        <f t="shared" si="1"/>
        <v>29.237358845066851</v>
      </c>
      <c r="S26" s="94">
        <f t="shared" si="2"/>
        <v>3326.0831859635396</v>
      </c>
      <c r="T26" s="80">
        <f t="shared" si="9"/>
        <v>750.74076355373677</v>
      </c>
      <c r="W26" s="73"/>
    </row>
    <row r="27" spans="1:23" x14ac:dyDescent="0.25">
      <c r="H27" s="15">
        <f t="shared" si="3"/>
        <v>2041</v>
      </c>
      <c r="I27" s="97">
        <f t="shared" si="10"/>
        <v>14604.979635394311</v>
      </c>
      <c r="J27" s="60">
        <f t="shared" si="4"/>
        <v>804132.99639582797</v>
      </c>
      <c r="K27" s="60">
        <f>IF(H27=Year_Open_to_Traffic?,Calculations!$E$4,K26+(K26*M27))</f>
        <v>720626.87753933785</v>
      </c>
      <c r="L27" s="60">
        <f>IF(AND(H27&gt;=Year_Open_to_Traffic?, Calculations!H27&lt;Year_Open_to_Traffic?+'Inputs &amp; Outputs'!B$21), 1, 0)</f>
        <v>1</v>
      </c>
      <c r="M27" s="81">
        <f t="shared" si="11"/>
        <v>2.0324067229131604E-2</v>
      </c>
      <c r="N27" s="87">
        <f t="shared" si="12"/>
        <v>0.68497231194983188</v>
      </c>
      <c r="O27" s="88">
        <f t="shared" si="7"/>
        <v>1</v>
      </c>
      <c r="P27" s="84">
        <f t="shared" si="8"/>
        <v>83506.118856490124</v>
      </c>
      <c r="Q27" s="85">
        <f t="shared" si="0"/>
        <v>1</v>
      </c>
      <c r="R27" s="86">
        <f t="shared" si="1"/>
        <v>29.909818098503379</v>
      </c>
      <c r="S27" s="94">
        <f t="shared" si="2"/>
        <v>3471.7374269023753</v>
      </c>
      <c r="T27" s="80">
        <f t="shared" si="9"/>
        <v>732.35218999798224</v>
      </c>
      <c r="W27" s="73"/>
    </row>
    <row r="28" spans="1:23" x14ac:dyDescent="0.25">
      <c r="H28" s="59">
        <f t="shared" si="3"/>
        <v>2042</v>
      </c>
      <c r="I28" s="97">
        <f t="shared" si="10"/>
        <v>14901.812223384162</v>
      </c>
      <c r="J28" s="60">
        <f t="shared" si="4"/>
        <v>820476.24947573978</v>
      </c>
      <c r="K28" s="60">
        <f>IF(H28=Year_Open_to_Traffic?,Calculations!$E$4,K27+(K27*M28))</f>
        <v>735272.9466455665</v>
      </c>
      <c r="L28" s="60">
        <f>IF(AND(H28&gt;=Year_Open_to_Traffic?, Calculations!H28&lt;Year_Open_to_Traffic?+'Inputs &amp; Outputs'!B$21), 1, 0)</f>
        <v>1</v>
      </c>
      <c r="M28" s="81">
        <f t="shared" si="11"/>
        <v>2.0324067229131604E-2</v>
      </c>
      <c r="N28" s="87">
        <f t="shared" si="12"/>
        <v>0.69889373526799392</v>
      </c>
      <c r="O28" s="88">
        <f t="shared" si="7"/>
        <v>1</v>
      </c>
      <c r="P28" s="84">
        <f t="shared" si="8"/>
        <v>85203.302830173285</v>
      </c>
      <c r="Q28" s="85">
        <f t="shared" si="0"/>
        <v>1</v>
      </c>
      <c r="R28" s="86">
        <f t="shared" si="1"/>
        <v>30.597743914768959</v>
      </c>
      <c r="S28" s="94">
        <f t="shared" si="2"/>
        <v>3623.7700885593104</v>
      </c>
      <c r="T28" s="80">
        <f t="shared" si="9"/>
        <v>714.41402443101845</v>
      </c>
      <c r="W28" s="73"/>
    </row>
    <row r="29" spans="1:23" x14ac:dyDescent="0.25">
      <c r="H29" s="15">
        <f t="shared" si="3"/>
        <v>2043</v>
      </c>
      <c r="I29" s="97">
        <f t="shared" si="10"/>
        <v>15204.677656848116</v>
      </c>
      <c r="J29" s="60">
        <f t="shared" si="4"/>
        <v>837151.66392999049</v>
      </c>
      <c r="K29" s="60">
        <f>IF(H29=Year_Open_to_Traffic?,Calculations!$E$4,K28+(K28*M29))</f>
        <v>750216.68344495271</v>
      </c>
      <c r="L29" s="60">
        <f>IF(AND(H29&gt;=Year_Open_to_Traffic?, Calculations!H29&lt;Year_Open_to_Traffic?+'Inputs &amp; Outputs'!B$21), 1, 0)</f>
        <v>1</v>
      </c>
      <c r="M29" s="81">
        <f t="shared" si="11"/>
        <v>2.0324067229131604E-2</v>
      </c>
      <c r="N29" s="87">
        <f t="shared" si="12"/>
        <v>0.71309809852959949</v>
      </c>
      <c r="O29" s="88">
        <f t="shared" si="7"/>
        <v>1</v>
      </c>
      <c r="P29" s="84">
        <f t="shared" si="8"/>
        <v>86934.980485037784</v>
      </c>
      <c r="Q29" s="85">
        <f t="shared" si="0"/>
        <v>1</v>
      </c>
      <c r="R29" s="86">
        <f t="shared" si="1"/>
        <v>31.301492024808638</v>
      </c>
      <c r="S29" s="94">
        <f t="shared" si="2"/>
        <v>3782.4604916777334</v>
      </c>
      <c r="T29" s="80">
        <f t="shared" si="9"/>
        <v>696.91523460198835</v>
      </c>
      <c r="W29" s="73"/>
    </row>
    <row r="30" spans="1:23" x14ac:dyDescent="0.25">
      <c r="H30" s="15">
        <f t="shared" si="3"/>
        <v>2044</v>
      </c>
      <c r="I30" s="97">
        <f t="shared" si="10"/>
        <v>15513.698547743174</v>
      </c>
      <c r="J30" s="60">
        <f t="shared" si="4"/>
        <v>854165.99062868301</v>
      </c>
      <c r="K30" s="60">
        <f>IF(H30=Year_Open_to_Traffic?,Calculations!$E$4,K29+(K29*M30))</f>
        <v>765464.13775570411</v>
      </c>
      <c r="L30" s="60">
        <f>IF(AND(H30&gt;=Year_Open_to_Traffic?, Calculations!H30&lt;Year_Open_to_Traffic?+'Inputs &amp; Outputs'!B$21), 1, 0)</f>
        <v>1</v>
      </c>
      <c r="M30" s="81">
        <f t="shared" si="11"/>
        <v>2.0324067229131604E-2</v>
      </c>
      <c r="N30" s="87">
        <f t="shared" si="12"/>
        <v>0.72759115222508097</v>
      </c>
      <c r="O30" s="88">
        <f t="shared" si="7"/>
        <v>1</v>
      </c>
      <c r="P30" s="84">
        <f t="shared" si="8"/>
        <v>88701.852872978896</v>
      </c>
      <c r="Q30" s="85">
        <f t="shared" si="0"/>
        <v>1</v>
      </c>
      <c r="R30" s="86">
        <f t="shared" si="1"/>
        <v>32.021426341379232</v>
      </c>
      <c r="S30" s="94">
        <f t="shared" si="2"/>
        <v>3948.1001888811725</v>
      </c>
      <c r="T30" s="80">
        <f t="shared" si="9"/>
        <v>679.84505848294839</v>
      </c>
      <c r="W30" s="73"/>
    </row>
    <row r="31" spans="1:23" x14ac:dyDescent="0.25">
      <c r="H31" s="15">
        <f t="shared" si="3"/>
        <v>2045</v>
      </c>
      <c r="I31" s="97">
        <f t="shared" si="10"/>
        <v>15828.999999999987</v>
      </c>
      <c r="J31" s="60">
        <f t="shared" si="4"/>
        <v>871526.1176470581</v>
      </c>
      <c r="K31" s="60">
        <f>IF(H31=Year_Open_to_Traffic?,Calculations!$E$4,K30+(K30*M31))</f>
        <v>781021.48235294025</v>
      </c>
      <c r="L31" s="60">
        <f>IF(AND(H31&gt;=Year_Open_to_Traffic?, Calculations!H31&lt;Year_Open_to_Traffic?+'Inputs &amp; Outputs'!B$21), 1, 0)</f>
        <v>1</v>
      </c>
      <c r="M31" s="81">
        <f t="shared" si="11"/>
        <v>2.0324067229131604E-2</v>
      </c>
      <c r="N31" s="87">
        <f t="shared" si="12"/>
        <v>0.74237876371822487</v>
      </c>
      <c r="O31" s="88">
        <f t="shared" si="7"/>
        <v>1</v>
      </c>
      <c r="P31" s="84">
        <f t="shared" si="8"/>
        <v>90504.635294117848</v>
      </c>
      <c r="Q31" s="85">
        <f t="shared" si="0"/>
        <v>1</v>
      </c>
      <c r="R31" s="86">
        <f t="shared" si="1"/>
        <v>32.757919147230957</v>
      </c>
      <c r="S31" s="94">
        <f t="shared" si="2"/>
        <v>4120.9935003259297</v>
      </c>
      <c r="T31" s="80">
        <f t="shared" si="9"/>
        <v>663.19299765005462</v>
      </c>
      <c r="W31" s="73"/>
    </row>
    <row r="32" spans="1:23" x14ac:dyDescent="0.25">
      <c r="H32" s="15">
        <f t="shared" si="3"/>
        <v>2046</v>
      </c>
      <c r="I32" s="97">
        <f t="shared" si="10"/>
        <v>16150.70966016991</v>
      </c>
      <c r="J32" s="60">
        <f t="shared" si="4"/>
        <v>889239.07305406092</v>
      </c>
      <c r="K32" s="60">
        <f>IF(H32=Year_Open_to_Traffic?,Calculations!$E$4,K31+(K31*M32))</f>
        <v>796895.01546767738</v>
      </c>
      <c r="L32" s="60">
        <f>IF(AND(H32&gt;=Year_Open_to_Traffic?, Calculations!H32&lt;Year_Open_to_Traffic?+'Inputs &amp; Outputs'!B$21), 1, 0)</f>
        <v>1</v>
      </c>
      <c r="M32" s="81">
        <f t="shared" si="11"/>
        <v>2.0324067229131604E-2</v>
      </c>
      <c r="N32" s="87">
        <f t="shared" si="12"/>
        <v>0.75746691962151369</v>
      </c>
      <c r="O32" s="88">
        <f t="shared" si="7"/>
        <v>1</v>
      </c>
      <c r="P32" s="84">
        <f t="shared" si="8"/>
        <v>92344.05758638354</v>
      </c>
      <c r="Q32" s="85">
        <f t="shared" si="0"/>
        <v>1</v>
      </c>
      <c r="R32" s="86">
        <f t="shared" si="1"/>
        <v>33.511351287617266</v>
      </c>
      <c r="S32" s="94">
        <f t="shared" si="2"/>
        <v>4301.4580728107476</v>
      </c>
      <c r="T32" s="80">
        <f t="shared" si="9"/>
        <v>646.94881082686732</v>
      </c>
      <c r="W32" s="73"/>
    </row>
    <row r="33" spans="8:23" x14ac:dyDescent="0.25">
      <c r="H33" s="15">
        <f t="shared" si="3"/>
        <v>2047</v>
      </c>
      <c r="I33" s="97">
        <f t="shared" si="10"/>
        <v>16478.957769101387</v>
      </c>
      <c r="J33" s="60">
        <f t="shared" si="4"/>
        <v>907312.02775758237</v>
      </c>
      <c r="K33" s="60">
        <f>IF(H33=Year_Open_to_Traffic?,Calculations!$E$4,K32+(K32*M33))</f>
        <v>813091.16333660227</v>
      </c>
      <c r="L33" s="60">
        <f>IF(AND(H33&gt;=Year_Open_to_Traffic?, Calculations!H33&lt;Year_Open_to_Traffic?+'Inputs &amp; Outputs'!B$21), 1, 0)</f>
        <v>1</v>
      </c>
      <c r="M33" s="81">
        <f t="shared" si="11"/>
        <v>2.0324067229131604E-2</v>
      </c>
      <c r="N33" s="87">
        <f t="shared" si="12"/>
        <v>0.77286172821974453</v>
      </c>
      <c r="O33" s="88">
        <f t="shared" si="7"/>
        <v>1</v>
      </c>
      <c r="P33" s="84">
        <f t="shared" si="8"/>
        <v>94220.864420980099</v>
      </c>
      <c r="Q33" s="85">
        <f t="shared" si="0"/>
        <v>1</v>
      </c>
      <c r="R33" s="86">
        <f t="shared" si="1"/>
        <v>34.282112367232457</v>
      </c>
      <c r="S33" s="94">
        <f t="shared" si="2"/>
        <v>4489.825463370762</v>
      </c>
      <c r="T33" s="80">
        <f t="shared" si="9"/>
        <v>631.10250758580742</v>
      </c>
      <c r="W33" s="73"/>
    </row>
    <row r="34" spans="8:23" x14ac:dyDescent="0.25">
      <c r="H34" s="15">
        <f t="shared" si="3"/>
        <v>2048</v>
      </c>
      <c r="I34" s="97">
        <f t="shared" si="10"/>
        <v>16813.877214666623</v>
      </c>
      <c r="J34" s="60">
        <f t="shared" si="4"/>
        <v>925752.29840752715</v>
      </c>
      <c r="K34" s="60">
        <f>IF(H34=Year_Open_to_Traffic?,Calculations!$E$4,K33+(K33*M34))</f>
        <v>829616.48280366824</v>
      </c>
      <c r="L34" s="60">
        <f>IF(AND(H34&gt;=Year_Open_to_Traffic?, Calculations!H34&lt;Year_Open_to_Traffic?+'Inputs &amp; Outputs'!B$21), 1, 0)</f>
        <v>1</v>
      </c>
      <c r="M34" s="81">
        <f t="shared" si="11"/>
        <v>2.0324067229131604E-2</v>
      </c>
      <c r="N34" s="87">
        <f t="shared" si="12"/>
        <v>0.78856942194290547</v>
      </c>
      <c r="O34" s="88">
        <f t="shared" si="7"/>
        <v>1</v>
      </c>
      <c r="P34" s="84">
        <f t="shared" si="8"/>
        <v>96135.815603858908</v>
      </c>
      <c r="Q34" s="85">
        <f t="shared" si="0"/>
        <v>1</v>
      </c>
      <c r="R34" s="86">
        <f t="shared" si="1"/>
        <v>35.070600951678806</v>
      </c>
      <c r="S34" s="94">
        <f t="shared" si="2"/>
        <v>4686.4417484278856</v>
      </c>
      <c r="T34" s="80">
        <f t="shared" si="9"/>
        <v>615.64434220388671</v>
      </c>
      <c r="W34" s="73"/>
    </row>
    <row r="35" spans="8:23" x14ac:dyDescent="0.25">
      <c r="H35" s="15">
        <f t="shared" si="3"/>
        <v>2049</v>
      </c>
      <c r="I35" s="97">
        <f t="shared" si="10"/>
        <v>17155.603585559871</v>
      </c>
      <c r="J35" s="60">
        <f t="shared" si="4"/>
        <v>944567.35035788489</v>
      </c>
      <c r="K35" s="60">
        <f>IF(H35=Year_Open_to_Traffic?,Calculations!$E$4,K34+(K34*M35))</f>
        <v>846477.66397456569</v>
      </c>
      <c r="L35" s="60">
        <f>IF(AND(H35&gt;=Year_Open_to_Traffic?, Calculations!H35&lt;Year_Open_to_Traffic?+'Inputs &amp; Outputs'!B$21), 1, 0)</f>
        <v>1</v>
      </c>
      <c r="M35" s="81">
        <f t="shared" si="11"/>
        <v>2.0324067229131604E-2</v>
      </c>
      <c r="N35" s="87">
        <f t="shared" si="12"/>
        <v>0.80459635988931055</v>
      </c>
      <c r="O35" s="88">
        <f t="shared" si="7"/>
        <v>1</v>
      </c>
      <c r="P35" s="84">
        <f t="shared" si="8"/>
        <v>98089.686383319204</v>
      </c>
      <c r="Q35" s="85">
        <f t="shared" si="0"/>
        <v>1</v>
      </c>
      <c r="R35" s="86">
        <f t="shared" si="1"/>
        <v>35.877224773567399</v>
      </c>
      <c r="S35" s="94">
        <f t="shared" si="2"/>
        <v>4891.6681596168755</v>
      </c>
      <c r="T35" s="80">
        <f t="shared" si="9"/>
        <v>600.56480766894083</v>
      </c>
      <c r="W35" s="73"/>
    </row>
    <row r="36" spans="8:23" x14ac:dyDescent="0.25">
      <c r="H36" s="15">
        <f t="shared" si="3"/>
        <v>2050</v>
      </c>
      <c r="I36" s="97">
        <f t="shared" si="10"/>
        <v>17504.275226189122</v>
      </c>
      <c r="J36" s="60">
        <f t="shared" si="4"/>
        <v>963764.80068900122</v>
      </c>
      <c r="K36" s="60">
        <f>IF(H36=Year_Open_to_Traffic?,Calculations!$E$4,K35+(K35*M36))</f>
        <v>863681.53292514302</v>
      </c>
      <c r="L36" s="60">
        <f>IF(AND(H36&gt;=Year_Open_to_Traffic?, Calculations!H36&lt;Year_Open_to_Traffic?+'Inputs &amp; Outputs'!B$21), 1, 0)</f>
        <v>1</v>
      </c>
      <c r="M36" s="81">
        <f t="shared" si="11"/>
        <v>2.0324067229131604E-2</v>
      </c>
      <c r="N36" s="87">
        <f t="shared" si="12"/>
        <v>0.82094903040001543</v>
      </c>
      <c r="O36" s="88">
        <f t="shared" si="7"/>
        <v>1</v>
      </c>
      <c r="P36" s="84">
        <f t="shared" si="8"/>
        <v>100083.2677638582</v>
      </c>
      <c r="Q36" s="85">
        <f t="shared" si="0"/>
        <v>1</v>
      </c>
      <c r="R36" s="86">
        <f t="shared" si="1"/>
        <v>36.702400943359457</v>
      </c>
      <c r="S36" s="94">
        <f t="shared" si="2"/>
        <v>5105.8817474551088</v>
      </c>
      <c r="T36" s="80">
        <f t="shared" si="9"/>
        <v>585.85462983266393</v>
      </c>
      <c r="W36" s="73"/>
    </row>
    <row r="37" spans="8:23" x14ac:dyDescent="0.25">
      <c r="H37" s="52"/>
      <c r="I37" s="52"/>
      <c r="J37" s="52"/>
      <c r="K37" s="52"/>
      <c r="L37" s="52"/>
      <c r="M37" s="75"/>
      <c r="N37" s="76"/>
      <c r="O37" s="77"/>
      <c r="P37" s="52"/>
      <c r="Q37" s="52"/>
      <c r="R37" s="52"/>
      <c r="S37" s="74"/>
      <c r="T37" s="80">
        <f>SUM(T4:T36)</f>
        <v>23160.078319659136</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topLeftCell="A16"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2018-10-25T19:16:54Z</cp:lastPrinted>
  <dcterms:created xsi:type="dcterms:W3CDTF">2012-07-25T15:48:32Z</dcterms:created>
  <dcterms:modified xsi:type="dcterms:W3CDTF">2018-10-25T19:16:58Z</dcterms:modified>
</cp:coreProperties>
</file>