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Aldine Westfeild (N-2013T-0015, N-100032)\"/>
    </mc:Choice>
  </mc:AlternateContent>
  <xr:revisionPtr revIDLastSave="0" documentId="10_ncr:100000_{0D8E84B5-E699-4DF8-9692-60B8B35B0AB8}" xr6:coauthVersionLast="31" xr6:coauthVersionMax="31" xr10:uidLastSave="{00000000-0000-0000-0000-000000000000}"/>
  <bookViews>
    <workbookView xWindow="0" yWindow="0" windowWidth="21495" windowHeight="91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Outputs'!$B$1:$H$41</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<sst xmlns="http://schemas.openxmlformats.org/spreadsheetml/2006/main" count="440" uniqueCount="284">
  <si>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</si>
  <si>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</si>
  <si>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</si>
  <si>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</si>
  <si>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</si>
  <si>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</si>
  <si>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</si>
  <si>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</si>
  <si>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</si>
  <si>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</si>
  <si>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</si>
  <si>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</si>
  <si>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</si>
  <si>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</si>
  <si>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</si>
  <si>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</si>
  <si>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</si>
  <si>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</si>
  <si>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</si>
  <si>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</si>
  <si>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</si>
  <si>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</si>
  <si>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</si>
  <si>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</si>
  <si>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</si>
  <si>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</si>
  <si>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</si>
  <si>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</si>
  <si>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</si>
  <si>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</si>
  <si>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</si>
  <si>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</si>
  <si>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</si>
  <si>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</si>
  <si>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</si>
  <si>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</si>
  <si>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</si>
  <si>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</si>
  <si>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</si>
  <si>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</si>
  <si>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</si>
  <si>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</si>
  <si>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</si>
  <si>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</si>
  <si>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</si>
  <si>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</si>
  <si>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</si>
  <si>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</si>
  <si>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</si>
  <si>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</si>
  <si>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</si>
  <si>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</si>
  <si>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</si>
  <si>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</si>
  <si>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</si>
  <si>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</si>
  <si>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</si>
  <si>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</si>
  <si>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</si>
  <si>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</si>
  <si>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</si>
  <si>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</si>
  <si>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</si>
  <si>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</si>
  <si>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</si>
  <si>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</si>
  <si>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</si>
  <si>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</si>
  <si>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</si>
  <si>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</si>
  <si>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</si>
  <si>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</si>
  <si>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</si>
  <si>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</si>
  <si>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</si>
  <si>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</si>
  <si>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</si>
  <si>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</si>
  <si>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</si>
  <si>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</si>
  <si>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</si>
  <si>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</si>
  <si>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</si>
  <si>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</si>
  <si>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</si>
  <si>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</si>
  <si>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</si>
  <si>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</si>
  <si>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</si>
  <si>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</si>
  <si>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</si>
  <si>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</si>
  <si>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</si>
  <si>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</si>
  <si>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</si>
  <si>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</si>
  <si>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</si>
  <si>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</si>
  <si>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</si>
  <si>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</si>
  <si>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</si>
  <si>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</si>
  <si>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</si>
  <si>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</si>
  <si>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</si>
  <si>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</si>
  <si>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</si>
  <si>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</si>
  <si>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</si>
  <si>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</si>
  <si>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</si>
  <si>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</si>
  <si>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</si>
  <si>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</si>
  <si>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</si>
  <si>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</si>
  <si>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</si>
  <si>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</si>
  <si>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</si>
  <si>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</si>
  <si>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</si>
  <si>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</si>
  <si>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</si>
  <si>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</si>
  <si>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</si>
  <si>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</si>
  <si>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</si>
  <si>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</si>
  <si>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</si>
  <si>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</si>
  <si>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</si>
  <si>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</si>
  <si>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</si>
  <si>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</si>
  <si>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</si>
  <si>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</si>
  <si>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</si>
  <si>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</si>
  <si>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</si>
  <si>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</si>
  <si>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</si>
  <si>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</si>
  <si>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</si>
  <si>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</si>
  <si>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</si>
  <si>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</si>
  <si>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</si>
  <si>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</si>
  <si>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</si>
  <si>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</si>
  <si>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</si>
  <si>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</si>
  <si>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</si>
  <si>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</si>
  <si>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</si>
  <si>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</si>
  <si>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</si>
  <si>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</si>
  <si>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</si>
  <si>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</si>
  <si>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</si>
  <si>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</si>
  <si>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</si>
  <si>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</si>
  <si>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</si>
  <si>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</si>
  <si>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</si>
  <si>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</si>
  <si>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</si>
  <si>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</si>
  <si>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</si>
  <si>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</si>
  <si>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</si>
  <si>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</si>
  <si>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</si>
  <si>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</si>
  <si>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</si>
  <si>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</si>
  <si>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</si>
  <si>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</si>
  <si>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</si>
  <si>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</si>
  <si>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</si>
  <si>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</si>
  <si>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</si>
  <si>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</si>
  <si>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</si>
  <si>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</si>
  <si>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</si>
  <si>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</si>
  <si>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</si>
  <si>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</si>
  <si>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</si>
  <si>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</si>
  <si>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</si>
  <si>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</si>
  <si>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</si>
  <si>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</si>
  <si>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</si>
  <si>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</si>
  <si>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</si>
  <si>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</si>
  <si>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</si>
  <si>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</si>
  <si>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</si>
  <si>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</si>
  <si>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</si>
  <si>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</si>
  <si>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</si>
  <si>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</si>
  <si>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</si>
  <si>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</si>
  <si>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</si>
  <si>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</si>
  <si>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</si>
  <si>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</si>
  <si>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</si>
  <si>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</si>
  <si>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</si>
  <si>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</si>
  <si>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</si>
  <si>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</si>
  <si>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</si>
  <si>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</si>
  <si>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</si>
  <si>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</si>
  <si>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</si>
  <si>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</si>
  <si>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</si>
  <si>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</si>
  <si>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</si>
  <si>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</si>
  <si>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</si>
  <si>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</si>
  <si>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</si>
  <si>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</si>
  <si>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</si>
  <si>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</si>
  <si>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</si>
  <si>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</si>
  <si>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</si>
  <si>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</si>
  <si>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</si>
  <si>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</si>
  <si>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</si>
  <si>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</si>
  <si>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</si>
  <si>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</si>
  <si>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</si>
  <si>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</si>
  <si>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</si>
  <si>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</si>
  <si>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</si>
  <si>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</si>
  <si>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</si>
  <si>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</si>
  <si>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</si>
  <si>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</si>
  <si>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</si>
  <si>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</si>
  <si>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</si>
  <si>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</si>
  <si>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</si>
  <si>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</si>
  <si>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</si>
  <si>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</si>
  <si>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</si>
  <si>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</si>
  <si>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</si>
  <si>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</si>
  <si>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</si>
  <si>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</si>
  <si>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</si>
  <si>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</si>
  <si>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</si>
  <si>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</si>
  <si>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</si>
  <si>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</si>
  <si>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</si>
  <si>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</si>
  <si>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</si>
  <si>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Aldine Westfield</t>
  </si>
  <si>
    <t>Beltway 8</t>
  </si>
  <si>
    <t>W. Little 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</si>
</sst>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A19" zoomScaleNormal="100" workbookViewId="0">
      <selection activeCell="D29" sqref="D29"/>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281</v>
      </c>
      <c r="D9" s="64"/>
      <c r="E9" s="122"/>
      <c r="F9" t="s">
        <v>268</v>
      </c>
    </row>
    <row r="10" spans="2:19" x14ac:dyDescent="0.25">
      <c r="B10" s="4" t="s">
        <v>114</v>
      </c>
      <c r="C10" s="121" t="s">
        <v>283</v>
      </c>
      <c r="D10" s="64"/>
      <c r="E10" s="9"/>
      <c r="F10" t="s">
        <v>258</v>
      </c>
    </row>
    <row r="11" spans="2:19" x14ac:dyDescent="0.25">
      <c r="B11" s="4" t="s">
        <v>115</v>
      </c>
      <c r="C11" s="121" t="s">
        <v>282</v>
      </c>
      <c r="D11" s="64"/>
    </row>
    <row r="12" spans="2:19" x14ac:dyDescent="0.25">
      <c r="B12" s="4" t="s">
        <v>116</v>
      </c>
      <c r="C12" s="121">
        <v>8</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2025</v>
      </c>
      <c r="D17" s="96"/>
    </row>
    <row r="18" spans="2:13" ht="30" x14ac:dyDescent="0.25">
      <c r="B18" s="4" t="s">
        <v>259</v>
      </c>
      <c r="C18" s="120" t="s">
        <v>242</v>
      </c>
      <c r="D18" s="26"/>
    </row>
    <row r="19" spans="2:13" x14ac:dyDescent="0.25">
      <c r="B19" s="122" t="s">
        <v>251</v>
      </c>
      <c r="C19" s="174">
        <f>VLOOKUP(C18,'CRF Lookup Table'!C3:F84,2, FALSE)</f>
        <v>305</v>
      </c>
      <c r="D19" s="97"/>
    </row>
    <row r="20" spans="2:13" x14ac:dyDescent="0.25">
      <c r="B20" s="122" t="s">
        <v>102</v>
      </c>
      <c r="C20" s="175">
        <f>VLOOKUP(C18,'CRF Lookup Table'!C3:F84,3, FALSE)</f>
        <v>0.75</v>
      </c>
      <c r="D20" s="98"/>
      <c r="F20" s="68"/>
    </row>
    <row r="21" spans="2:13" x14ac:dyDescent="0.25">
      <c r="B21" s="122" t="s">
        <v>101</v>
      </c>
      <c r="C21" s="176">
        <f>VLOOKUP(C18,'CRF Lookup Table'!C3:F84,4, FALSE)</f>
        <v>15</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12964</v>
      </c>
      <c r="D25" s="99"/>
      <c r="I25" s="49"/>
    </row>
    <row r="26" spans="2:13" x14ac:dyDescent="0.25">
      <c r="I26" s="49"/>
    </row>
    <row r="27" spans="2:13" x14ac:dyDescent="0.25">
      <c r="B27" s="86" t="s">
        <v>269</v>
      </c>
      <c r="C27" s="87">
        <v>6848</v>
      </c>
      <c r="D27" s="99"/>
      <c r="I27" s="49"/>
    </row>
    <row r="28" spans="2:13" x14ac:dyDescent="0.25">
      <c r="B28" s="86" t="s">
        <v>150</v>
      </c>
      <c r="C28" s="87">
        <v>11074</v>
      </c>
      <c r="D28" s="99"/>
      <c r="I28" s="49"/>
    </row>
    <row r="29" spans="2:13" x14ac:dyDescent="0.25">
      <c r="B29" s="86" t="s">
        <v>270</v>
      </c>
      <c r="C29" s="88">
        <v>10858</v>
      </c>
      <c r="D29" s="69"/>
      <c r="I29" s="49"/>
    </row>
    <row r="30" spans="2:13" x14ac:dyDescent="0.25">
      <c r="B30" s="86" t="s">
        <v>151</v>
      </c>
      <c r="C30" s="88">
        <v>21322</v>
      </c>
      <c r="D30" s="69"/>
      <c r="I30" s="49"/>
    </row>
    <row r="31" spans="2:13" x14ac:dyDescent="0.25">
      <c r="B31" s="86" t="s">
        <v>271</v>
      </c>
      <c r="C31" s="87">
        <v>15829</v>
      </c>
      <c r="D31" s="99"/>
      <c r="H31" s="70"/>
    </row>
    <row r="32" spans="2:13" x14ac:dyDescent="0.25">
      <c r="B32" s="86" t="s">
        <v>152</v>
      </c>
      <c r="C32" s="87">
        <v>21322</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116001.21741929585</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8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20555.360981308415</v>
      </c>
      <c r="G4" s="183" t="s">
        <v>260</v>
      </c>
      <c r="H4" s="183"/>
      <c r="I4" s="183"/>
      <c r="J4" s="183"/>
      <c r="L4" s="136"/>
      <c r="M4" s="137">
        <v>2018</v>
      </c>
      <c r="N4" s="138">
        <f>_2018_Volume_ADT</f>
        <v>12964</v>
      </c>
      <c r="O4" s="139" t="s">
        <v>85</v>
      </c>
      <c r="P4" s="140">
        <f>MIN(B12,1)</f>
        <v>0.61838540726024926</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15</v>
      </c>
      <c r="D5" s="134" t="s">
        <v>145</v>
      </c>
      <c r="E5" s="135">
        <f>$E$4*'Inputs &amp; Outputs'!$C$12</f>
        <v>164442.88785046732</v>
      </c>
      <c r="G5" s="184" t="s">
        <v>261</v>
      </c>
      <c r="H5" s="184"/>
      <c r="I5" s="184"/>
      <c r="J5" s="143">
        <f>SUMPRODUCT(Possible_Crash_Reductions,'Value of Statistical Life'!E5:E11)</f>
        <v>17093591.778787021</v>
      </c>
      <c r="L5" s="136"/>
      <c r="M5" s="144">
        <f t="shared" ref="M5:M36" si="1">M4+1</f>
        <v>2019</v>
      </c>
      <c r="N5" s="145">
        <f>N4+(N4*O5)</f>
        <v>13846.405135551442</v>
      </c>
      <c r="O5" s="146">
        <f t="shared" ref="O5:O11" si="2">IF(ISERROR(_2025_2045_Demand_Growth),_2018_2045_Demand_Growth,_2018_2025_Demand_Growth)</f>
        <v>6.8065808049324383E-2</v>
      </c>
      <c r="P5" s="147">
        <f t="shared" ref="P5:P11" si="3">P4*(1+IFERROR(_2018_2025_V_C_Growth,_2018_2045_V_C_Growth))</f>
        <v>0.60146594399622344</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42755150.841121502</v>
      </c>
      <c r="L6" s="136"/>
      <c r="M6" s="137">
        <f t="shared" si="1"/>
        <v>2020</v>
      </c>
      <c r="N6" s="145">
        <f t="shared" ref="N6:N36" si="6">N5+(N5*O6)</f>
        <v>14788.871889681066</v>
      </c>
      <c r="O6" s="146">
        <f t="shared" si="2"/>
        <v>6.8065808049324383E-2</v>
      </c>
      <c r="P6" s="147">
        <f t="shared" si="3"/>
        <v>0.58500940924535738</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15795.488404990147</v>
      </c>
      <c r="O7" s="146">
        <f t="shared" si="2"/>
        <v>6.8065808049324383E-2</v>
      </c>
      <c r="P7" s="147">
        <f t="shared" si="3"/>
        <v>0.56900313695525029</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16870.621086809537</v>
      </c>
      <c r="O8" s="146">
        <f t="shared" si="2"/>
        <v>6.8065808049324383E-2</v>
      </c>
      <c r="P8" s="147">
        <f t="shared" si="3"/>
        <v>0.55343480762567709</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6.8065808049324383E-2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18018.933543377199</v>
      </c>
      <c r="O9" s="146">
        <f t="shared" si="2"/>
        <v>6.8065808049324383E-2</v>
      </c>
      <c r="P9" s="147">
        <f t="shared" si="3"/>
        <v>0.53829243882667488</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1.9025805503565696E-2</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19245.406815194245</v>
      </c>
      <c r="O10" s="146">
        <f t="shared" si="2"/>
        <v>6.8065808049324383E-2</v>
      </c>
      <c r="P10" s="147">
        <f t="shared" si="3"/>
        <v>0.52356437597606198</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3.1519393015586594E-2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20555.360981308415</v>
      </c>
      <c r="O11" s="146">
        <f t="shared" si="2"/>
        <v>6.8065808049324383E-2</v>
      </c>
      <c r="P11" s="147">
        <f t="shared" si="3"/>
        <v>0.50923928336928981</v>
      </c>
      <c r="Q11" s="148">
        <f t="shared" si="4"/>
        <v>1</v>
      </c>
      <c r="R11" s="37">
        <f>IF(M11=Year_Open_to_Traffic?,Calculations!$J$5,Calculations!R10+(Calculations!R10*Calculations!O11*Q11))</f>
        <v>17093591.778787021</v>
      </c>
      <c r="S11" s="54">
        <f t="shared" si="0"/>
        <v>1</v>
      </c>
      <c r="T11" s="37">
        <f t="shared" si="5"/>
        <v>17093.59177878702</v>
      </c>
      <c r="U11" s="142">
        <f>T11/(1+Real_Discount_Rate)^(Calculations!M11-'Assumed Values'!$C$5)</f>
        <v>10645.029868120186</v>
      </c>
    </row>
    <row r="12" spans="1:21" ht="15.75" x14ac:dyDescent="0.25">
      <c r="A12" s="152" t="s">
        <v>75</v>
      </c>
      <c r="B12" s="156">
        <f>'Inputs &amp; Outputs'!C27/_2018_Peak_Period_Capacity</f>
        <v>0.61838540726024926</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20946.443281394371</v>
      </c>
      <c r="O12" s="146">
        <f t="shared" ref="O12:O36" si="7">IFERROR(_2025_2045_Demand_Growth,_2018_2045_Demand_Growth)</f>
        <v>1.9025805503565696E-2</v>
      </c>
      <c r="P12" s="147">
        <f t="shared" ref="P12:P36" si="8">P11*(1+IFERROR(_2025_2040_V_C_Growth,_2018_2045_V_C_Growth))</f>
        <v>0.51892797092944909</v>
      </c>
      <c r="Q12" s="148">
        <f t="shared" si="4"/>
        <v>1</v>
      </c>
      <c r="R12" s="37">
        <f>IF(M12=Year_Open_to_Traffic?,Calculations!$J$5,Calculations!R11+(Calculations!R11*Calculations!O12*Q12))</f>
        <v>17418811.131327573</v>
      </c>
      <c r="S12" s="54">
        <f t="shared" si="0"/>
        <v>1</v>
      </c>
      <c r="T12" s="37">
        <f t="shared" si="5"/>
        <v>17418.811131327573</v>
      </c>
      <c r="U12" s="142">
        <f>T12/(1+Real_Discount_Rate)^(Calculations!M12-'Assumed Values'!$C$5)</f>
        <v>10137.906669131486</v>
      </c>
    </row>
    <row r="13" spans="1:21" ht="15.75" x14ac:dyDescent="0.25">
      <c r="A13" s="152" t="s">
        <v>74</v>
      </c>
      <c r="B13" s="156">
        <f>_2025_Peak_Period_Volume/_2025_Peak_Period_Capacity</f>
        <v>0.50923928336928992</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21344.966237257649</v>
      </c>
      <c r="O13" s="146">
        <f t="shared" si="7"/>
        <v>1.9025805503565696E-2</v>
      </c>
      <c r="P13" s="147">
        <f t="shared" si="8"/>
        <v>0.52880099357471277</v>
      </c>
      <c r="Q13" s="148">
        <f t="shared" si="4"/>
        <v>1</v>
      </c>
      <c r="R13" s="37">
        <f>IF(M13=Year_Open_to_Traffic?,Calculations!$J$5,Calculations!R12+(Calculations!R12*Calculations!O13*Q13))</f>
        <v>17750218.044015557</v>
      </c>
      <c r="S13" s="54">
        <f t="shared" si="0"/>
        <v>1</v>
      </c>
      <c r="T13" s="37">
        <f t="shared" si="5"/>
        <v>17750.218044015557</v>
      </c>
      <c r="U13" s="142">
        <f>T13/(1+Real_Discount_Rate)^(Calculations!M13-'Assumed Values'!$C$5)</f>
        <v>9654.942532366058</v>
      </c>
    </row>
    <row r="14" spans="1:21" ht="15.75" x14ac:dyDescent="0.25">
      <c r="A14" s="152" t="s">
        <v>148</v>
      </c>
      <c r="B14" s="156">
        <f>_2045_Peak_Period_Volume/_2045_Peak_Period_Capacity</f>
        <v>0.74237876371822531</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21751.071413367888</v>
      </c>
      <c r="O14" s="146">
        <f t="shared" si="7"/>
        <v>1.9025805503565696E-2</v>
      </c>
      <c r="P14" s="147">
        <f>P13*(1+IFERROR(_2025_2040_V_C_Growth,_2018_2045_V_C_Growth))</f>
        <v>0.53886185842855761</v>
      </c>
      <c r="Q14" s="148">
        <f t="shared" si="4"/>
        <v>1</v>
      </c>
      <c r="R14" s="37">
        <f>IF(M14=Year_Open_to_Traffic?,Calculations!$J$5,Calculations!R13+(Calculations!R13*Calculations!O14*Q14))</f>
        <v>18087930.24016688</v>
      </c>
      <c r="S14" s="54">
        <f t="shared" si="0"/>
        <v>1</v>
      </c>
      <c r="T14" s="37">
        <f t="shared" si="5"/>
        <v>18087.930240166879</v>
      </c>
      <c r="U14" s="142">
        <f>T14/(1+Real_Discount_Rate)^(Calculations!M14-'Assumed Values'!$C$5)</f>
        <v>9194.9865337709889</v>
      </c>
    </row>
    <row r="15" spans="1:21" ht="15.75" x14ac:dyDescent="0.25">
      <c r="A15" s="152" t="s">
        <v>80</v>
      </c>
      <c r="B15" s="153">
        <f>(B13/B12)^(1/(2025-2018))-1</f>
        <v>-2.7360709139284789E-2</v>
      </c>
      <c r="L15" s="136"/>
      <c r="M15" s="144">
        <f>M14+1</f>
        <v>2029</v>
      </c>
      <c r="N15" s="145">
        <f t="shared" si="6"/>
        <v>22164.903067572795</v>
      </c>
      <c r="O15" s="146">
        <f t="shared" si="7"/>
        <v>1.9025805503565696E-2</v>
      </c>
      <c r="P15" s="147">
        <f>P14*(1+IFERROR(_2025_2040_V_C_Growth,_2018_2045_V_C_Growth))</f>
        <v>0.54911413934030928</v>
      </c>
      <c r="Q15" s="148">
        <f t="shared" si="4"/>
        <v>1</v>
      </c>
      <c r="R15" s="37">
        <f>IF(M15=Year_Open_to_Traffic?,Calculations!$J$5,Calculations!R14+(Calculations!R14*Calculations!O15*Q15))</f>
        <v>18432067.68287836</v>
      </c>
      <c r="S15" s="54">
        <f t="shared" si="0"/>
        <v>1</v>
      </c>
      <c r="T15" s="37">
        <f t="shared" si="5"/>
        <v>18432.067682878362</v>
      </c>
      <c r="U15" s="142">
        <f>T15/(1+Real_Discount_Rate)^(Calculations!M15-'Assumed Values'!$C$5)</f>
        <v>8756.9425786639458</v>
      </c>
    </row>
    <row r="16" spans="1:21" ht="15.75" x14ac:dyDescent="0.25">
      <c r="A16" s="152" t="s">
        <v>108</v>
      </c>
      <c r="B16" s="153">
        <f>(B14/B13)^(1/(2045-2025))-1</f>
        <v>1.9025805503565696E-2</v>
      </c>
      <c r="D16" s="157" t="s">
        <v>136</v>
      </c>
      <c r="E16" s="151"/>
      <c r="L16" s="136"/>
      <c r="M16" s="137">
        <f t="shared" si="1"/>
        <v>2030</v>
      </c>
      <c r="N16" s="145">
        <f t="shared" si="6"/>
        <v>22586.60820234182</v>
      </c>
      <c r="O16" s="146">
        <f t="shared" si="7"/>
        <v>1.9025805503565696E-2</v>
      </c>
      <c r="P16" s="147">
        <f t="shared" si="8"/>
        <v>0.55956147815465584</v>
      </c>
      <c r="Q16" s="148">
        <f t="shared" si="4"/>
        <v>1</v>
      </c>
      <c r="R16" s="37">
        <f>IF(M16=Year_Open_to_Traffic?,Calculations!$J$5,Calculations!R15+(Calculations!R15*Calculations!O16*Q16))</f>
        <v>18782752.617641363</v>
      </c>
      <c r="S16" s="54">
        <f t="shared" si="0"/>
        <v>1</v>
      </c>
      <c r="T16" s="37">
        <f t="shared" si="5"/>
        <v>18782.752617641363</v>
      </c>
      <c r="U16" s="142">
        <f>T16/(1+Real_Discount_Rate)^(Calculations!M16-'Assumed Values'!$C$5)</f>
        <v>8339.7667896929906</v>
      </c>
    </row>
    <row r="17" spans="1:21" ht="15.75" x14ac:dyDescent="0.25">
      <c r="A17" s="152" t="s">
        <v>109</v>
      </c>
      <c r="B17" s="153">
        <f>(B14/B12)^(1/(2045-2018))-1</f>
        <v>6.7913900772298419E-3</v>
      </c>
      <c r="D17" s="152" t="s">
        <v>89</v>
      </c>
      <c r="E17" s="158">
        <f>($E$6*Death_Rate)/100000000</f>
        <v>0.74632286300479012</v>
      </c>
      <c r="L17" s="136"/>
      <c r="M17" s="144">
        <f t="shared" si="1"/>
        <v>2031</v>
      </c>
      <c r="N17" s="145">
        <f t="shared" si="6"/>
        <v>23016.336616984816</v>
      </c>
      <c r="O17" s="146">
        <f t="shared" si="7"/>
        <v>1.9025805503565696E-2</v>
      </c>
      <c r="P17" s="147">
        <f t="shared" si="8"/>
        <v>0.57020758600531407</v>
      </c>
      <c r="Q17" s="148">
        <f t="shared" si="4"/>
        <v>1</v>
      </c>
      <c r="R17" s="37">
        <f>IF(M17=Year_Open_to_Traffic?,Calculations!$J$5,Calculations!R16+(Calculations!R16*Calculations!O17*Q17))</f>
        <v>19140109.615766197</v>
      </c>
      <c r="S17" s="54">
        <f t="shared" si="0"/>
        <v>1</v>
      </c>
      <c r="T17" s="37">
        <f t="shared" si="5"/>
        <v>19140.109615766196</v>
      </c>
      <c r="U17" s="142">
        <f>T17/(1+Real_Discount_Rate)^(Calculations!M17-'Assumed Values'!$C$5)</f>
        <v>7942.4650192325089</v>
      </c>
    </row>
    <row r="18" spans="1:21" ht="15.75" x14ac:dyDescent="0.25">
      <c r="D18" s="152" t="s">
        <v>94</v>
      </c>
      <c r="E18" s="158">
        <f>($E$6*Incap_Injry_Rate)/100000000</f>
        <v>3.7725416978338915</v>
      </c>
      <c r="L18" s="136"/>
      <c r="M18" s="137">
        <f t="shared" si="1"/>
        <v>2032</v>
      </c>
      <c r="N18" s="145">
        <f t="shared" si="6"/>
        <v>23454.240960864165</v>
      </c>
      <c r="O18" s="146">
        <f t="shared" si="7"/>
        <v>1.9025805503565696E-2</v>
      </c>
      <c r="P18" s="147">
        <f t="shared" si="8"/>
        <v>0.58105624463330885</v>
      </c>
      <c r="Q18" s="148">
        <f t="shared" si="4"/>
        <v>1</v>
      </c>
      <c r="R18" s="37">
        <f>IF(M18=Year_Open_to_Traffic?,Calculations!$J$5,Calculations!R17+(Calculations!R17*Calculations!O18*Q18))</f>
        <v>19504265.618632693</v>
      </c>
      <c r="S18" s="54">
        <f t="shared" si="0"/>
        <v>1</v>
      </c>
      <c r="T18" s="37">
        <f t="shared" si="5"/>
        <v>19504.265618632693</v>
      </c>
      <c r="U18" s="142">
        <f>T18/(1+Real_Discount_Rate)^(Calculations!M18-'Assumed Values'!$C$5)</f>
        <v>7564.0904802871983</v>
      </c>
    </row>
    <row r="19" spans="1:21" ht="15.75" x14ac:dyDescent="0.25">
      <c r="D19" s="152" t="s">
        <v>93</v>
      </c>
      <c r="E19" s="158">
        <f>($E$6*Nonincap_Injry_Rate)/100000000</f>
        <v>21.284646554275319</v>
      </c>
      <c r="L19" s="136"/>
      <c r="M19" s="144">
        <f t="shared" si="1"/>
        <v>2033</v>
      </c>
      <c r="N19" s="145">
        <f t="shared" si="6"/>
        <v>23900.476787619329</v>
      </c>
      <c r="O19" s="146">
        <f t="shared" si="7"/>
        <v>1.9025805503565696E-2</v>
      </c>
      <c r="P19" s="147">
        <f t="shared" si="8"/>
        <v>0.59211130773033449</v>
      </c>
      <c r="Q19" s="148">
        <f t="shared" si="4"/>
        <v>1</v>
      </c>
      <c r="R19" s="37">
        <f>IF(M19=Year_Open_to_Traffic?,Calculations!$J$5,Calculations!R18+(Calculations!R18*Calculations!O19*Q19))</f>
        <v>19875349.982782681</v>
      </c>
      <c r="S19" s="54">
        <f t="shared" si="0"/>
        <v>1</v>
      </c>
      <c r="T19" s="37">
        <f t="shared" si="5"/>
        <v>19875.349982782682</v>
      </c>
      <c r="U19" s="142">
        <f>T19/(1+Real_Discount_Rate)^(Calculations!M19-'Assumed Values'!$C$5)</f>
        <v>7203.7414902584251</v>
      </c>
    </row>
    <row r="20" spans="1:21" ht="15.75" x14ac:dyDescent="0.25">
      <c r="D20" s="152" t="s">
        <v>92</v>
      </c>
      <c r="E20" s="158">
        <f>($E$6*Poss_Injry_Rate/100000000)</f>
        <v>53.135780352834594</v>
      </c>
      <c r="L20" s="136"/>
      <c r="M20" s="137">
        <f t="shared" si="1"/>
        <v>2034</v>
      </c>
      <c r="N20" s="145">
        <f t="shared" si="6"/>
        <v>24355.202610423061</v>
      </c>
      <c r="O20" s="146">
        <f t="shared" si="7"/>
        <v>1.9025805503565696E-2</v>
      </c>
      <c r="P20" s="147">
        <f t="shared" si="8"/>
        <v>0.60337670230767382</v>
      </c>
      <c r="Q20" s="148">
        <f t="shared" si="4"/>
        <v>1</v>
      </c>
      <c r="R20" s="37">
        <f>IF(M20=Year_Open_to_Traffic?,Calculations!$J$5,Calculations!R19+(Calculations!R19*Calculations!O20*Q20))</f>
        <v>20253494.525870401</v>
      </c>
      <c r="S20" s="54">
        <f t="shared" si="0"/>
        <v>1</v>
      </c>
      <c r="T20" s="37">
        <f t="shared" si="5"/>
        <v>20253.494525870403</v>
      </c>
      <c r="U20" s="142">
        <f>T20/(1+Real_Discount_Rate)^(Calculations!M20-'Assumed Values'!$C$5)</f>
        <v>6860.5593221963072</v>
      </c>
    </row>
    <row r="21" spans="1:21" ht="15.75" x14ac:dyDescent="0.25">
      <c r="D21" s="152" t="s">
        <v>91</v>
      </c>
      <c r="E21" s="158">
        <f>($E$6*Non_Injry_Rate)/100000000</f>
        <v>412.01355525456057</v>
      </c>
      <c r="L21" s="136"/>
      <c r="M21" s="144">
        <f>M20+1</f>
        <v>2035</v>
      </c>
      <c r="N21" s="145">
        <f t="shared" si="6"/>
        <v>24818.579958288905</v>
      </c>
      <c r="O21" s="146">
        <f t="shared" si="7"/>
        <v>1.9025805503565696E-2</v>
      </c>
      <c r="P21" s="147">
        <f>P20*(1+IFERROR(_2025_2040_V_C_Growth,_2018_2045_V_C_Growth))</f>
        <v>0.61485643009116253</v>
      </c>
      <c r="Q21" s="148">
        <f t="shared" si="4"/>
        <v>1</v>
      </c>
      <c r="R21" s="37">
        <f>IF(M21=Year_Open_to_Traffic?,Calculations!$J$5,Calculations!R20+(Calculations!R20*Calculations!O21*Q21))</f>
        <v>20638833.573487144</v>
      </c>
      <c r="S21" s="54">
        <f t="shared" si="0"/>
        <v>1</v>
      </c>
      <c r="T21" s="37">
        <f t="shared" si="5"/>
        <v>20638.833573487143</v>
      </c>
      <c r="U21" s="142">
        <f>T21/(1+Real_Discount_Rate)^(Calculations!M21-'Assumed Values'!$C$5)</f>
        <v>6533.7261584169046</v>
      </c>
    </row>
    <row r="22" spans="1:21" ht="15.75" x14ac:dyDescent="0.25">
      <c r="D22" s="152" t="s">
        <v>90</v>
      </c>
      <c r="E22" s="158">
        <f>($E$6*Unkn_Injry_Rate)/100000000</f>
        <v>35.751272631035917</v>
      </c>
      <c r="L22" s="136"/>
      <c r="M22" s="137">
        <f>M21+1</f>
        <v>2036</v>
      </c>
      <c r="N22" s="145">
        <f t="shared" si="6"/>
        <v>25290.773433450002</v>
      </c>
      <c r="O22" s="146">
        <f t="shared" si="7"/>
        <v>1.9025805503565696E-2</v>
      </c>
      <c r="P22" s="147">
        <f t="shared" si="8"/>
        <v>0.62655456894269368</v>
      </c>
      <c r="Q22" s="148">
        <f t="shared" si="4"/>
        <v>1</v>
      </c>
      <c r="R22" s="37">
        <f>IF(M22=Year_Open_to_Traffic?,Calculations!$J$5,Calculations!R21+(Calculations!R21*Calculations!O22*Q22))</f>
        <v>21031504.00687677</v>
      </c>
      <c r="S22" s="54">
        <f t="shared" si="0"/>
        <v>1</v>
      </c>
      <c r="T22" s="37">
        <f t="shared" si="5"/>
        <v>21031.50400687677</v>
      </c>
      <c r="U22" s="142">
        <f>T22/(1+Real_Discount_Rate)^(Calculations!M22-'Assumed Values'!$C$5)</f>
        <v>6222.4631416079474</v>
      </c>
    </row>
    <row r="23" spans="1:21" ht="15.75" x14ac:dyDescent="0.25">
      <c r="L23" s="136"/>
      <c r="M23" s="144">
        <f t="shared" si="1"/>
        <v>2037</v>
      </c>
      <c r="N23" s="145">
        <f t="shared" si="6"/>
        <v>25771.950769829567</v>
      </c>
      <c r="O23" s="146">
        <f t="shared" si="7"/>
        <v>1.9025805503565696E-2</v>
      </c>
      <c r="P23" s="147">
        <f t="shared" si="8"/>
        <v>0.63847527430876783</v>
      </c>
      <c r="Q23" s="148">
        <f t="shared" si="4"/>
        <v>1</v>
      </c>
      <c r="R23" s="37">
        <f>IF(M23=Year_Open_to_Traffic?,Calculations!$J$5,Calculations!R22+(Calculations!R22*Calculations!O23*Q23))</f>
        <v>21431645.31155907</v>
      </c>
      <c r="S23" s="54">
        <f t="shared" si="0"/>
        <v>1</v>
      </c>
      <c r="T23" s="37">
        <f t="shared" si="5"/>
        <v>21431.64531155907</v>
      </c>
      <c r="U23" s="142">
        <f>T23/(1+Real_Discount_Rate)^(Calculations!M23-'Assumed Values'!$C$5)</f>
        <v>5926.0285187787722</v>
      </c>
    </row>
    <row r="24" spans="1:21" ht="15.75" x14ac:dyDescent="0.25">
      <c r="L24" s="136"/>
      <c r="M24" s="137">
        <f t="shared" si="1"/>
        <v>2038</v>
      </c>
      <c r="N24" s="145">
        <f t="shared" si="6"/>
        <v>26262.282892623814</v>
      </c>
      <c r="O24" s="146">
        <f t="shared" si="7"/>
        <v>1.9025805503565696E-2</v>
      </c>
      <c r="P24" s="147">
        <f t="shared" si="8"/>
        <v>0.65062278069660218</v>
      </c>
      <c r="Q24" s="148">
        <f t="shared" si="4"/>
        <v>1</v>
      </c>
      <c r="R24" s="37">
        <f>IF(M24=Year_Open_to_Traffic?,Calculations!$J$5,Calculations!R23+(Calculations!R23*Calculations!O24*Q24))</f>
        <v>21839399.626878198</v>
      </c>
      <c r="S24" s="54">
        <f t="shared" si="0"/>
        <v>1</v>
      </c>
      <c r="T24" s="37">
        <f t="shared" si="5"/>
        <v>21839.399626878199</v>
      </c>
      <c r="U24" s="142">
        <f>T24/(1+Real_Discount_Rate)^(Calculations!M24-'Assumed Values'!$C$5)</f>
        <v>5643.7158736314404</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26761.943979018495</v>
      </c>
      <c r="O25" s="146">
        <f t="shared" si="7"/>
        <v>1.9025805503565696E-2</v>
      </c>
      <c r="P25" s="147">
        <f t="shared" si="8"/>
        <v>0.66300140317832479</v>
      </c>
      <c r="Q25" s="148">
        <f t="shared" si="4"/>
        <v>1</v>
      </c>
      <c r="R25" s="37">
        <f>IF(M25=Year_Open_to_Traffic?,Calculations!$J$5,Calculations!R24+(Calculations!R24*Calculations!O25*Q25))</f>
        <v>22254911.796493828</v>
      </c>
      <c r="S25" s="54">
        <f t="shared" si="0"/>
        <v>1</v>
      </c>
      <c r="T25" s="37">
        <f t="shared" si="5"/>
        <v>22254.911796493827</v>
      </c>
      <c r="U25" s="142">
        <f>T25/(1+Real_Discount_Rate)^(Calculations!M25-'Assumed Values'!$C$5)</f>
        <v>5374.8524431406895</v>
      </c>
    </row>
    <row r="26" spans="1:21" ht="15.75" x14ac:dyDescent="0.25">
      <c r="A26" s="181"/>
      <c r="B26" s="181"/>
      <c r="D26" s="160">
        <f>Calculations!E17</f>
        <v>0.74632286300479012</v>
      </c>
      <c r="E26" s="160">
        <f>Calculations!E18</f>
        <v>3.7725416978338915</v>
      </c>
      <c r="F26" s="160">
        <f>Calculations!E19</f>
        <v>21.284646554275319</v>
      </c>
      <c r="G26" s="160">
        <f>Calculations!E20</f>
        <v>53.135780352834594</v>
      </c>
      <c r="H26" s="160">
        <f>Calculations!E21</f>
        <v>412.01355525456057</v>
      </c>
      <c r="I26" s="160">
        <f>Calculations!E22</f>
        <v>35.751272631035917</v>
      </c>
      <c r="J26" s="182"/>
      <c r="L26" s="136"/>
      <c r="M26" s="137">
        <f t="shared" si="1"/>
        <v>2040</v>
      </c>
      <c r="N26" s="145">
        <f t="shared" si="6"/>
        <v>27271.111520060622</v>
      </c>
      <c r="O26" s="146">
        <f t="shared" si="7"/>
        <v>1.9025805503565696E-2</v>
      </c>
      <c r="P26" s="147">
        <f t="shared" si="8"/>
        <v>0.67561553892378678</v>
      </c>
      <c r="Q26" s="148">
        <f t="shared" si="4"/>
        <v>1</v>
      </c>
      <c r="R26" s="37">
        <f>IF(M26=Year_Open_to_Traffic?,Calculations!$J$5,Calculations!R25+(Calculations!R25*Calculations!O26*Q26))</f>
        <v>22678329.41983293</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9.7246693615913135E-2</v>
      </c>
      <c r="F27" s="163">
        <f>F$26*'Value of Statistical Life'!F17*Appropriate_Crash_Reduction_Factor</f>
        <v>1.3324720859140209</v>
      </c>
      <c r="G27" s="163">
        <f>G$26*'Value of Statistical Life'!G17*Appropriate_Crash_Reduction_Factor</f>
        <v>9.3400746309703813</v>
      </c>
      <c r="H27" s="163">
        <f>H$26*'Value of Statistical Life'!H17*Appropriate_Crash_Reduction_Factor</f>
        <v>285.93946741444131</v>
      </c>
      <c r="I27" s="163">
        <f>I$26*'Value of Statistical Life'!I17*Appropriate_Crash_Reduction_Factor</f>
        <v>11.711044375748434</v>
      </c>
      <c r="J27" s="163">
        <f t="shared" ref="J27:J33" si="9">SUM(D27:I27)</f>
        <v>308.42030520069005</v>
      </c>
      <c r="K27" s="164"/>
      <c r="L27" s="136"/>
      <c r="M27" s="144">
        <f t="shared" si="1"/>
        <v>2041</v>
      </c>
      <c r="N27" s="145">
        <f t="shared" si="6"/>
        <v>27789.966383707346</v>
      </c>
      <c r="O27" s="146">
        <f t="shared" si="7"/>
        <v>1.9025805503565696E-2</v>
      </c>
      <c r="P27" s="147">
        <f t="shared" si="8"/>
        <v>0.68846966876253746</v>
      </c>
      <c r="Q27" s="148">
        <f t="shared" si="4"/>
        <v>1</v>
      </c>
      <c r="R27" s="37">
        <f>IF(M27=Year_Open_to_Traffic?,Calculations!$J$5,Calculations!R26+(Calculations!R26*Calculations!O27*Q27))</f>
        <v>23109802.904520463</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1.5688774845239357</v>
      </c>
      <c r="F28" s="163">
        <f>F$26*'Value of Statistical Life'!F18*Appropriate_Crash_Reduction_Factor</f>
        <v>12.266820713776337</v>
      </c>
      <c r="G28" s="163">
        <f>G$26*'Value of Statistical Life'!G18*Appropriate_Crash_Reduction_Factor</f>
        <v>27.476246341549</v>
      </c>
      <c r="H28" s="163">
        <f>H$26*'Value of Statistical Life'!H18*Appropriate_Crash_Reduction_Factor</f>
        <v>22.424867778617593</v>
      </c>
      <c r="I28" s="163">
        <f>I$26*'Value of Statistical Life'!I18*Appropriate_Crash_Reduction_Factor</f>
        <v>11.19166776260106</v>
      </c>
      <c r="J28" s="163">
        <f t="shared" si="9"/>
        <v>74.928480081067917</v>
      </c>
      <c r="K28" s="164"/>
      <c r="L28" s="136"/>
      <c r="M28" s="137">
        <f t="shared" si="1"/>
        <v>2042</v>
      </c>
      <c r="N28" s="145">
        <f t="shared" si="6"/>
        <v>28318.692879074391</v>
      </c>
      <c r="O28" s="146">
        <f t="shared" si="7"/>
        <v>1.9025805503565696E-2</v>
      </c>
      <c r="P28" s="147">
        <f t="shared" si="8"/>
        <v>0.70156835877551782</v>
      </c>
      <c r="Q28" s="148">
        <f t="shared" si="4"/>
        <v>1</v>
      </c>
      <c r="R28" s="37">
        <f>IF(M28=Year_Open_to_Traffic?,Calculations!$J$5,Calculations!R27+(Calculations!R27*Calculations!O28*Q28))</f>
        <v>23549485.519807607</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0.59157226363733251</v>
      </c>
      <c r="F29" s="163">
        <f>F$26*'Value of Statistical Life'!F19*Appropriate_Crash_Reduction_Factor</f>
        <v>1.7397005861136932</v>
      </c>
      <c r="G29" s="163">
        <f>G$26*'Value of Statistical Life'!G19*Appropriate_Crash_Reduction_Factor</f>
        <v>2.5469307917622439</v>
      </c>
      <c r="H29" s="163">
        <f>H$26*'Value of Statistical Life'!H19*Appropriate_Crash_Reduction_Factor</f>
        <v>0.61184012955302247</v>
      </c>
      <c r="I29" s="163">
        <f>I$26*'Value of Statistical Life'!I19*Appropriate_Crash_Reduction_Factor</f>
        <v>2.3788896808691296</v>
      </c>
      <c r="J29" s="163">
        <f t="shared" si="9"/>
        <v>7.8689334519354226</v>
      </c>
      <c r="K29" s="164"/>
      <c r="L29" s="136"/>
      <c r="M29" s="144">
        <f t="shared" si="1"/>
        <v>2043</v>
      </c>
      <c r="N29" s="145">
        <f t="shared" si="6"/>
        <v>28857.478821906872</v>
      </c>
      <c r="O29" s="146">
        <f t="shared" si="7"/>
        <v>1.9025805503565696E-2</v>
      </c>
      <c r="P29" s="147">
        <f t="shared" si="8"/>
        <v>0.71491626191703661</v>
      </c>
      <c r="Q29" s="148">
        <f t="shared" si="4"/>
        <v>1</v>
      </c>
      <c r="R29" s="37">
        <f>IF(M29=Year_Open_to_Traffic?,Calculations!$J$5,Calculations!R28+(Calculations!R28*Calculations!O29*Q29))</f>
        <v>23997533.451016504</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0.40848138368720915</v>
      </c>
      <c r="F30" s="163">
        <f>F$26*'Value of Statistical Life'!F20*Appropriate_Crash_Reduction_Factor</f>
        <v>0.50939480366019407</v>
      </c>
      <c r="G30" s="163">
        <f>G$26*'Value of Statistical Life'!G20*Appropriate_Crash_Reduction_Factor</f>
        <v>0.42681315568414391</v>
      </c>
      <c r="H30" s="163">
        <f>H$26*'Value of Statistical Life'!H20*Appropriate_Crash_Reduction_Factor</f>
        <v>2.4720813315273635E-2</v>
      </c>
      <c r="I30" s="163">
        <f>I$26*'Value of Statistical Life'!I20*Appropriate_Crash_Reduction_Factor</f>
        <v>1.2916041019777502</v>
      </c>
      <c r="J30" s="163">
        <f t="shared" si="9"/>
        <v>2.6610142583245713</v>
      </c>
      <c r="K30" s="164"/>
      <c r="L30" s="136"/>
      <c r="M30" s="144">
        <f t="shared" si="1"/>
        <v>2044</v>
      </c>
      <c r="N30" s="145">
        <f t="shared" si="6"/>
        <v>29406.515601295738</v>
      </c>
      <c r="O30" s="146">
        <f t="shared" si="7"/>
        <v>1.9025805503565696E-2</v>
      </c>
      <c r="P30" s="147">
        <f t="shared" si="8"/>
        <v>0.72851811966760638</v>
      </c>
      <c r="Q30" s="148">
        <f t="shared" si="4"/>
        <v>1</v>
      </c>
      <c r="R30" s="37">
        <f>IF(M30=Year_Open_to_Traffic?,Calculations!$J$5,Calculations!R29+(Calculations!R29*Calculations!O30*Q30))</f>
        <v>24454105.855020855</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0.11278013405674418</v>
      </c>
      <c r="F31" s="163">
        <f>F$26*'Value of Statistical Life'!F21*Appropriate_Crash_Reduction_Factor</f>
        <v>9.8973606477380238E-2</v>
      </c>
      <c r="G31" s="163">
        <f>G$26*'Value of Statistical Life'!G21*Appropriate_Crash_Reduction_Factor</f>
        <v>5.658960607576885E-2</v>
      </c>
      <c r="H31" s="163">
        <f>H$26*'Value of Statistical Life'!H21*Appropriate_Crash_Reduction_Factor</f>
        <v>0</v>
      </c>
      <c r="I31" s="163">
        <f>I$26*'Value of Statistical Life'!I21*Appropriate_Crash_Reduction_Factor</f>
        <v>0.16543901410011871</v>
      </c>
      <c r="J31" s="163">
        <f t="shared" si="9"/>
        <v>0.43378236071001197</v>
      </c>
      <c r="K31" s="164"/>
      <c r="L31" s="136"/>
      <c r="M31" s="144">
        <f t="shared" si="1"/>
        <v>2045</v>
      </c>
      <c r="N31" s="145">
        <f t="shared" si="6"/>
        <v>29965.99824766356</v>
      </c>
      <c r="O31" s="146">
        <f t="shared" si="7"/>
        <v>1.9025805503565696E-2</v>
      </c>
      <c r="P31" s="147">
        <f t="shared" si="8"/>
        <v>0.74237876371822564</v>
      </c>
      <c r="Q31" s="148">
        <f t="shared" si="4"/>
        <v>1</v>
      </c>
      <c r="R31" s="37">
        <f>IF(M31=Year_Open_to_Traffic?,Calculations!$J$5,Calculations!R30+(Calculations!R30*Calculations!O31*Q31))</f>
        <v>24919364.916782089</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5.0448313854283708E-2</v>
      </c>
      <c r="F32" s="163">
        <f>F$26*'Value of Statistical Life'!F22*Appropriate_Crash_Reduction_Factor</f>
        <v>1.6123119764863556E-2</v>
      </c>
      <c r="G32" s="163">
        <f>G$26*'Value of Statistical Life'!G22*Appropriate_Crash_Reduction_Factor</f>
        <v>5.1807385844013726E-3</v>
      </c>
      <c r="H32" s="163">
        <f>H$26*'Value of Statistical Life'!H22*Appropriate_Crash_Reduction_Factor</f>
        <v>9.270304993227613E-3</v>
      </c>
      <c r="I32" s="163">
        <f>I$26*'Value of Statistical Life'!I22*Appropriate_Crash_Reduction_Factor</f>
        <v>7.4809537980442653E-2</v>
      </c>
      <c r="J32" s="163">
        <f t="shared" si="9"/>
        <v>0.1558320151772189</v>
      </c>
      <c r="K32" s="164"/>
      <c r="L32" s="136"/>
      <c r="M32" s="144">
        <f t="shared" si="1"/>
        <v>2046</v>
      </c>
      <c r="N32" s="145">
        <f t="shared" si="6"/>
        <v>30536.125502043797</v>
      </c>
      <c r="O32" s="146">
        <f t="shared" si="7"/>
        <v>1.9025805503565696E-2</v>
      </c>
      <c r="P32" s="147">
        <f t="shared" si="8"/>
        <v>0.75650311768670619</v>
      </c>
      <c r="Q32" s="148">
        <f t="shared" si="4"/>
        <v>1</v>
      </c>
      <c r="R32" s="37">
        <f>IF(M32=Year_Open_to_Traffic?,Calculations!$J$5,Calculations!R31+(Calculations!R31*Calculations!O32*Q32))</f>
        <v>25393475.906961162</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0.55974214725359261</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0.55974214725359261</v>
      </c>
      <c r="K33" s="164"/>
      <c r="L33" s="136"/>
      <c r="M33" s="144">
        <f t="shared" si="1"/>
        <v>2047</v>
      </c>
      <c r="N33" s="145">
        <f t="shared" si="6"/>
        <v>31117.099886678156</v>
      </c>
      <c r="O33" s="146">
        <f t="shared" si="7"/>
        <v>1.9025805503565696E-2</v>
      </c>
      <c r="P33" s="147">
        <f t="shared" si="8"/>
        <v>0.7708961988666545</v>
      </c>
      <c r="Q33" s="148">
        <f t="shared" si="4"/>
        <v>1</v>
      </c>
      <c r="R33" s="37">
        <f>IF(M33=Year_Open_to_Traffic?,Calculations!$J$5,Calculations!R32+(Calculations!R32*Calculations!O33*Q33))</f>
        <v>25876607.240626488</v>
      </c>
      <c r="S33" s="54">
        <f t="shared" si="0"/>
        <v>0</v>
      </c>
      <c r="T33" s="37">
        <f t="shared" si="5"/>
        <v>0</v>
      </c>
      <c r="U33" s="142">
        <f>T33/(1+Real_Discount_Rate)^(Calculations!M33-'Assumed Values'!$C$5)</f>
        <v>0</v>
      </c>
    </row>
    <row r="34" spans="1:21" ht="15.75" x14ac:dyDescent="0.25">
      <c r="J34" s="166"/>
      <c r="L34" s="136"/>
      <c r="M34" s="144">
        <f t="shared" si="1"/>
        <v>2048</v>
      </c>
      <c r="N34" s="145">
        <f t="shared" si="6"/>
        <v>31709.127776957121</v>
      </c>
      <c r="O34" s="146">
        <f t="shared" si="7"/>
        <v>1.9025805503565696E-2</v>
      </c>
      <c r="P34" s="147">
        <f t="shared" si="8"/>
        <v>0.78556312000972961</v>
      </c>
      <c r="Q34" s="148">
        <f t="shared" si="4"/>
        <v>1</v>
      </c>
      <c r="R34" s="37">
        <f>IF(M34=Year_Open_to_Traffic?,Calculations!$J$5,Calculations!R33+(Calculations!R33*Calculations!O34*Q34))</f>
        <v>26368930.537078809</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32312.41947472922</v>
      </c>
      <c r="O35" s="146">
        <f t="shared" si="7"/>
        <v>1.9025805503565696E-2</v>
      </c>
      <c r="P35" s="147">
        <f t="shared" si="8"/>
        <v>0.80050909114180901</v>
      </c>
      <c r="Q35" s="148">
        <f t="shared" si="4"/>
        <v>1</v>
      </c>
      <c r="R35" s="37">
        <f>IF(M35=Year_Open_to_Traffic?,Calculations!$J$5,Calculations!R34+(Calculations!R34*Calculations!O35*Q35))</f>
        <v>26870620.680814303</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32927.189283005049</v>
      </c>
      <c r="O36" s="146">
        <f t="shared" si="7"/>
        <v>1.9025805503565696E-2</v>
      </c>
      <c r="P36" s="147">
        <f t="shared" si="8"/>
        <v>0.81573942141370925</v>
      </c>
      <c r="Q36" s="148">
        <f t="shared" si="4"/>
        <v>1</v>
      </c>
      <c r="R36" s="37">
        <f>IF(M36=Year_Open_to_Traffic?,Calculations!$J$5,Calculations!R35+(Calculations!R35*Calculations!O36*Q36))</f>
        <v>27381855.883647565</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116001.21741929585</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28" workbookViewId="0">
      <selection activeCell="E44" sqref="E44"/>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2018-10-25T19:16:18Z</cp:lastPrinted>
  <dcterms:created xsi:type="dcterms:W3CDTF">2012-07-25T15:48:32Z</dcterms:created>
  <dcterms:modified xsi:type="dcterms:W3CDTF">2018-10-25T19:16:22Z</dcterms:modified>
</cp:coreProperties>
</file>