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ONCO- Ford\"/>
    </mc:Choice>
  </mc:AlternateContent>
  <xr:revisionPtr revIDLastSave="0" documentId="13_ncr:1_{F5572CBA-85C0-4939-BA6F-8E0C5862E78C}" xr6:coauthVersionLast="37" xr6:coauthVersionMax="37" xr10:uidLastSave="{00000000-0000-0000-0000-000000000000}"/>
  <bookViews>
    <workbookView xWindow="423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5" i="12" s="1"/>
  <c r="R10" i="12" s="1"/>
  <c r="T10" i="12" s="1"/>
  <c r="U10" i="12" s="1"/>
  <c r="J30" i="12"/>
  <c r="J28" i="12"/>
  <c r="R11" i="12" l="1"/>
  <c r="R12" i="12"/>
  <c r="T11" i="12"/>
  <c r="U11" i="12" s="1"/>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U37" i="12" s="1"/>
  <c r="C37" i="11" s="1"/>
  <c r="T35" i="12"/>
  <c r="U35" i="12"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<sst xmlns="http://schemas.openxmlformats.org/spreadsheetml/2006/main" count="440" uniqueCount="286">
  <si>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</si>
  <si>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</si>
  <si>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</si>
  <si>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</si>
  <si>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</si>
  <si>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</si>
  <si>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</si>
  <si>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</si>
  <si>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</si>
  <si>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</si>
  <si>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</si>
  <si>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</si>
  <si>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</si>
  <si>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</si>
  <si>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</si>
  <si>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</si>
  <si>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</si>
  <si>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</si>
  <si>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</si>
  <si>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</si>
  <si>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</si>
  <si>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</si>
  <si>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</si>
  <si>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</si>
  <si>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</si>
  <si>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</si>
  <si>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</si>
  <si>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</si>
  <si>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</si>
  <si>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</si>
  <si>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</si>
  <si>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</si>
  <si>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</si>
  <si>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</si>
  <si>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</si>
  <si>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</si>
  <si>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</si>
  <si>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</si>
  <si>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</si>
  <si>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</si>
  <si>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</si>
  <si>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</si>
  <si>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</si>
  <si>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</si>
  <si>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</si>
  <si>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</si>
  <si>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</si>
  <si>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</si>
  <si>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</si>
  <si>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</si>
  <si>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</si>
  <si>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</si>
  <si>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</si>
  <si>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</si>
  <si>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</si>
  <si>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</si>
  <si>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</si>
  <si>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</si>
  <si>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</si>
  <si>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</si>
  <si>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</si>
  <si>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</si>
  <si>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</si>
  <si>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</si>
  <si>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</si>
  <si>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</si>
  <si>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</si>
  <si>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</si>
  <si>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</si>
  <si>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</si>
  <si>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</si>
  <si>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</si>
  <si>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</si>
  <si>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</si>
  <si>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</si>
  <si>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</si>
  <si>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</si>
  <si>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</si>
  <si>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</si>
  <si>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</si>
  <si>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</si>
  <si>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</si>
  <si>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</si>
  <si>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</si>
  <si>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</si>
  <si>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</si>
  <si>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</si>
  <si>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</si>
  <si>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</si>
  <si>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</si>
  <si>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</si>
  <si>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</si>
  <si>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</si>
  <si>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</si>
  <si>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</si>
  <si>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</si>
  <si>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</si>
  <si>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</si>
  <si>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</si>
  <si>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</si>
  <si>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</si>
  <si>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</si>
  <si>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</si>
  <si>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</si>
  <si>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</si>
  <si>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</si>
  <si>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</si>
  <si>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</si>
  <si>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</si>
  <si>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</si>
  <si>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</si>
  <si>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</si>
  <si>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</si>
  <si>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</si>
  <si>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</si>
  <si>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</si>
  <si>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</si>
  <si>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</si>
  <si>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</si>
  <si>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</si>
  <si>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</si>
  <si>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</si>
  <si>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</si>
  <si>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</si>
  <si>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</si>
  <si>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</si>
  <si>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</si>
  <si>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</si>
  <si>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</si>
  <si>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</si>
  <si>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</si>
  <si>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</si>
  <si>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</si>
  <si>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</si>
  <si>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</si>
  <si>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</si>
  <si>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</si>
  <si>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</si>
  <si>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</si>
  <si>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</si>
  <si>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</si>
  <si>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</si>
  <si>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</si>
  <si>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</si>
  <si>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</si>
  <si>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</si>
  <si>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</si>
  <si>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</si>
  <si>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</si>
  <si>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</si>
  <si>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</si>
  <si>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</si>
  <si>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</si>
  <si>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</si>
  <si>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</si>
  <si>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</si>
  <si>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</si>
  <si>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</si>
  <si>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</si>
  <si>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</si>
  <si>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</si>
  <si>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</si>
  <si>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</si>
  <si>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</si>
  <si>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</si>
  <si>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</si>
  <si>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</si>
  <si>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</si>
  <si>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</si>
  <si>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</si>
  <si>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</si>
  <si>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</si>
  <si>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</si>
  <si>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</si>
  <si>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</si>
  <si>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</si>
  <si>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</si>
  <si>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</si>
  <si>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</si>
  <si>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</si>
  <si>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</si>
  <si>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</si>
  <si>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</si>
  <si>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</si>
  <si>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</si>
  <si>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</si>
  <si>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</si>
  <si>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</si>
  <si>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</si>
  <si>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</si>
  <si>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</si>
  <si>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</si>
  <si>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</si>
  <si>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</si>
  <si>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</si>
  <si>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</si>
  <si>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</si>
  <si>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</si>
  <si>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</si>
  <si>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</si>
  <si>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</si>
  <si>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</si>
  <si>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</si>
  <si>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</si>
  <si>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</si>
  <si>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</si>
  <si>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</si>
  <si>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</si>
  <si>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</si>
  <si>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</si>
  <si>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</si>
  <si>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</si>
  <si>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</si>
  <si>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</si>
  <si>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</si>
  <si>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</si>
  <si>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</si>
  <si>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</si>
  <si>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</si>
  <si>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</si>
  <si>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</si>
  <si>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</si>
  <si>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</si>
  <si>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</si>
  <si>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</si>
  <si>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</si>
  <si>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</si>
  <si>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</si>
  <si>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</si>
  <si>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</si>
  <si>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</si>
  <si>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</si>
  <si>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</si>
  <si>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</si>
  <si>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</si>
  <si>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</si>
  <si>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</si>
  <si>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</si>
  <si>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</si>
  <si>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</si>
  <si>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</si>
  <si>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</si>
  <si>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</si>
  <si>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</si>
  <si>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</si>
  <si>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</si>
  <si>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</si>
  <si>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</si>
  <si>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</si>
  <si>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</si>
  <si>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</si>
  <si>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</si>
  <si>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</si>
  <si>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</si>
  <si>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</si>
  <si>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</si>
  <si>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</si>
  <si>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</si>
  <si>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</si>
  <si>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</si>
  <si>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</si>
  <si>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</si>
  <si>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</si>
  <si>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</si>
  <si>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</si>
  <si>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</si>
  <si>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</si>
  <si>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</si>
  <si>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</si>
  <si>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</si>
  <si>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</si>
  <si>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</si>
  <si>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</si>
  <si>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</si>
  <si>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</si>
  <si>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</si>
  <si>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</si>
  <si>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</si>
  <si>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</si>
  <si>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</si>
  <si>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</si>
  <si>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Ford Road Realignment and Added Capacity Project</t>
  </si>
  <si>
    <t>Non Freeway</t>
  </si>
  <si>
    <t>Ford Road</t>
  </si>
  <si>
    <t>IH69</t>
  </si>
  <si>
    <t>Mills Branch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</si>
</sst>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29" sqref="C29"/>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78" t="s">
        <v>281</v>
      </c>
      <c r="D6" s="94"/>
    </row>
    <row r="7" spans="2:19" x14ac:dyDescent="0.25">
      <c r="B7" s="4" t="s">
        <v>117</v>
      </c>
      <c r="C7" s="179" t="s">
        <v>124</v>
      </c>
      <c r="D7" s="64"/>
      <c r="E7" s="4"/>
      <c r="F7" t="s">
        <v>257</v>
      </c>
    </row>
    <row r="8" spans="2:19" x14ac:dyDescent="0.25">
      <c r="B8" s="4" t="s">
        <v>126</v>
      </c>
      <c r="C8" s="179" t="s">
        <v>282</v>
      </c>
      <c r="D8" s="64"/>
      <c r="E8" s="86"/>
      <c r="F8" t="s">
        <v>263</v>
      </c>
    </row>
    <row r="9" spans="2:19" x14ac:dyDescent="0.25">
      <c r="B9" s="4" t="s">
        <v>167</v>
      </c>
      <c r="C9" s="179" t="s">
        <v>283</v>
      </c>
      <c r="D9" s="64"/>
      <c r="E9" s="122"/>
      <c r="F9" t="s">
        <v>268</v>
      </c>
    </row>
    <row r="10" spans="2:19" x14ac:dyDescent="0.25">
      <c r="B10" s="4" t="s">
        <v>114</v>
      </c>
      <c r="C10" s="179" t="s">
        <v>284</v>
      </c>
      <c r="D10" s="64"/>
      <c r="E10" s="9"/>
      <c r="F10" t="s">
        <v>258</v>
      </c>
    </row>
    <row r="11" spans="2:19" x14ac:dyDescent="0.25">
      <c r="B11" s="4" t="s">
        <v>115</v>
      </c>
      <c r="C11" s="179" t="s">
        <v>285</v>
      </c>
      <c r="D11" s="64"/>
    </row>
    <row r="12" spans="2:19" x14ac:dyDescent="0.25">
      <c r="B12" s="4" t="s">
        <v>116</v>
      </c>
      <c r="C12" s="179">
        <v>3.18</v>
      </c>
      <c r="D12" s="95"/>
      <c r="N12" s="182"/>
      <c r="O12" s="182"/>
      <c r="P12" s="182"/>
      <c r="Q12" s="182"/>
      <c r="R12" s="182"/>
      <c r="S12" s="182"/>
    </row>
    <row r="13" spans="2:19" x14ac:dyDescent="0.25">
      <c r="B13" s="4" t="s">
        <v>77</v>
      </c>
      <c r="C13" s="121">
        <v>199</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x14ac:dyDescent="0.25">
      <c r="B18" s="4" t="s">
        <v>259</v>
      </c>
      <c r="C18" s="120" t="s">
        <v>176</v>
      </c>
      <c r="D18" s="26"/>
    </row>
    <row r="19" spans="2:13" x14ac:dyDescent="0.25">
      <c r="B19" s="122" t="s">
        <v>251</v>
      </c>
      <c r="C19" s="174">
        <f>VLOOKUP(C18,'CRF Lookup Table'!C3:F84,2, FALSE)</f>
        <v>517</v>
      </c>
      <c r="D19" s="97"/>
    </row>
    <row r="20" spans="2:13" x14ac:dyDescent="0.25">
      <c r="B20" s="122" t="s">
        <v>102</v>
      </c>
      <c r="C20" s="175">
        <f>VLOOKUP(C18,'CRF Lookup Table'!C3:F84,3, FALSE)</f>
        <v>0.28000000000000003</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14342</v>
      </c>
      <c r="D25" s="99"/>
      <c r="I25" s="49"/>
    </row>
    <row r="26" spans="2:13" x14ac:dyDescent="0.25">
      <c r="I26" s="49"/>
    </row>
    <row r="27" spans="2:13" x14ac:dyDescent="0.25">
      <c r="B27" s="86" t="s">
        <v>269</v>
      </c>
      <c r="C27" s="87">
        <v>7427</v>
      </c>
      <c r="D27" s="99"/>
      <c r="I27" s="49"/>
    </row>
    <row r="28" spans="2:13" x14ac:dyDescent="0.25">
      <c r="B28" s="86" t="s">
        <v>150</v>
      </c>
      <c r="C28" s="87">
        <v>6286</v>
      </c>
      <c r="D28" s="99"/>
      <c r="I28" s="49"/>
    </row>
    <row r="29" spans="2:13" x14ac:dyDescent="0.25">
      <c r="B29" s="86" t="s">
        <v>270</v>
      </c>
      <c r="C29" s="88">
        <v>8311</v>
      </c>
      <c r="D29" s="69"/>
      <c r="I29" s="49"/>
    </row>
    <row r="30" spans="2:13" x14ac:dyDescent="0.25">
      <c r="B30" s="86" t="s">
        <v>151</v>
      </c>
      <c r="C30" s="88">
        <v>11921</v>
      </c>
      <c r="D30" s="69"/>
      <c r="I30" s="49"/>
    </row>
    <row r="31" spans="2:13" x14ac:dyDescent="0.25">
      <c r="B31" s="86" t="s">
        <v>271</v>
      </c>
      <c r="C31" s="87">
        <v>14044</v>
      </c>
      <c r="D31" s="99"/>
      <c r="H31" s="70"/>
    </row>
    <row r="32" spans="2:13" x14ac:dyDescent="0.25">
      <c r="B32" s="86" t="s">
        <v>152</v>
      </c>
      <c r="C32" s="87">
        <v>13811</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12557.05049645251</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15793.28432238075</v>
      </c>
      <c r="G4" s="185" t="s">
        <v>260</v>
      </c>
      <c r="H4" s="185"/>
      <c r="I4" s="185"/>
      <c r="J4" s="185"/>
      <c r="L4" s="136"/>
      <c r="M4" s="137">
        <v>2018</v>
      </c>
      <c r="N4" s="138">
        <f>_2018_Volume_ADT</f>
        <v>14342</v>
      </c>
      <c r="O4" s="139" t="s">
        <v>85</v>
      </c>
      <c r="P4" s="140">
        <f>MIN(B12,1)</f>
        <v>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50222.644145170787</v>
      </c>
      <c r="G5" s="186" t="s">
        <v>261</v>
      </c>
      <c r="H5" s="186"/>
      <c r="I5" s="186"/>
      <c r="J5" s="143">
        <f>SUMPRODUCT(Possible_Crash_Reductions,'Value of Statistical Life'!E5:E11)</f>
        <v>1370430.986150136</v>
      </c>
      <c r="L5" s="136"/>
      <c r="M5" s="144">
        <f t="shared" ref="M5:M36" si="1">M4+1</f>
        <v>2019</v>
      </c>
      <c r="N5" s="145">
        <f>N4+(N4*O5)</f>
        <v>14574.271002655487</v>
      </c>
      <c r="O5" s="146">
        <f t="shared" ref="O5:O11" si="2">IF(ISERROR(_2025_2045_Demand_Growth),_2018_2045_Demand_Growth,_2018_2025_Demand_Growth)</f>
        <v>1.6195161250556867E-2</v>
      </c>
      <c r="P5" s="147">
        <f t="shared" ref="P5:P11" si="3">P4*(1+IFERROR(_2018_2025_V_C_Growth,_2018_2045_V_C_Growth))</f>
        <v>0.92740973333886234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13057887.477744404</v>
      </c>
      <c r="L6" s="136"/>
      <c r="M6" s="137">
        <f t="shared" si="1"/>
        <v>2020</v>
      </c>
      <c r="N6" s="145">
        <f t="shared" ref="N6:N36" si="6">N5+(N5*O6)</f>
        <v>14810.303671652808</v>
      </c>
      <c r="O6" s="146">
        <f t="shared" si="2"/>
        <v>1.6195161250556867E-2</v>
      </c>
      <c r="P6" s="147">
        <f t="shared" si="3"/>
        <v>0.86008881349165978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15050.15892778494</v>
      </c>
      <c r="O7" s="146">
        <f t="shared" si="2"/>
        <v>1.6195161250556867E-2</v>
      </c>
      <c r="P7" s="147">
        <f t="shared" si="3"/>
        <v>0.7976547371680387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15293.898678466925</v>
      </c>
      <c r="O8" s="146">
        <f t="shared" si="2"/>
        <v>1.6195161250556867E-2</v>
      </c>
      <c r="P8" s="147">
        <f t="shared" si="3"/>
        <v>0.73975276709349114</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1.6195161250556867E-2</v>
      </c>
      <c r="D9" s="152" t="s">
        <v>137</v>
      </c>
      <c r="E9" s="154">
        <f>IF('Inputs &amp; Outputs'!$C$8='CRASH RATES'!$D$3, VLOOKUP('Inputs &amp; Outputs'!$C$7,'CRASH RATES'!$C$14:$J$21,3,FALSE), VLOOKUP('Inputs &amp; Outputs'!$C$7,'CRASH RATES'!$C$28:$J$35,3,FALSE))</f>
        <v>1.6733669755541722</v>
      </c>
      <c r="F9" s="155"/>
      <c r="L9" s="136"/>
      <c r="M9" s="144">
        <f t="shared" si="1"/>
        <v>2023</v>
      </c>
      <c r="N9" s="145">
        <f t="shared" si="6"/>
        <v>15541.585833714376</v>
      </c>
      <c r="O9" s="146">
        <f t="shared" si="2"/>
        <v>1.6195161250556867E-2</v>
      </c>
      <c r="P9" s="147">
        <f t="shared" si="3"/>
        <v>0.6860539164668602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2.6577820385112805E-2</v>
      </c>
      <c r="D10" s="152" t="s">
        <v>138</v>
      </c>
      <c r="E10" s="154">
        <f>IF('Inputs &amp; Outputs'!$C$8='CRASH RATES'!$D$3, VLOOKUP('Inputs &amp; Outputs'!$C$7,'CRASH RATES'!$C$14:$J$21,4,FALSE), VLOOKUP('Inputs &amp; Outputs'!$C$7,'CRASH RATES'!$C$28:$J$35,4,FALSE))</f>
        <v>10.467444485381417</v>
      </c>
      <c r="F10" s="155"/>
      <c r="L10" s="136"/>
      <c r="M10" s="137">
        <f t="shared" si="1"/>
        <v>2024</v>
      </c>
      <c r="N10" s="145">
        <f t="shared" si="6"/>
        <v>15793.28432238075</v>
      </c>
      <c r="O10" s="146">
        <f t="shared" si="2"/>
        <v>1.6195161250556867E-2</v>
      </c>
      <c r="P10" s="147">
        <f t="shared" si="3"/>
        <v>0.63625307972661294</v>
      </c>
      <c r="Q10" s="148">
        <f t="shared" si="4"/>
        <v>1</v>
      </c>
      <c r="R10" s="37">
        <f>IF(M10=Year_Open_to_Traffic?,Calculations!$J$5,Calculations!R9+(Calculations!R9*Calculations!O10*Q10))</f>
        <v>1370430.986150136</v>
      </c>
      <c r="S10" s="54">
        <f t="shared" si="0"/>
        <v>1</v>
      </c>
      <c r="T10" s="37">
        <f t="shared" si="5"/>
        <v>1370.4309861501361</v>
      </c>
      <c r="U10" s="142">
        <f>T10/(1+Real_Discount_Rate)^(Calculations!M10-'Assumed Values'!$C$5)</f>
        <v>913.1760308983379</v>
      </c>
    </row>
    <row r="11" spans="1:21" ht="15.75" x14ac:dyDescent="0.25">
      <c r="A11" s="152" t="s">
        <v>107</v>
      </c>
      <c r="B11" s="153">
        <f>(_2045_Peak_Period_Volume/'Inputs &amp; Outputs'!$C$27)^(1/(2045-2018))-1</f>
        <v>2.3875877141613655E-2</v>
      </c>
      <c r="D11" s="152" t="s">
        <v>139</v>
      </c>
      <c r="E11" s="154">
        <f>IF('Inputs &amp; Outputs'!$C$8='CRASH RATES'!$D$3, VLOOKUP('Inputs &amp; Outputs'!$C$7,'CRASH RATES'!$C$14:$J$21,5,FALSE), VLOOKUP('Inputs &amp; Outputs'!$C$7,'CRASH RATES'!$C$28:$J$35,5,FALSE))</f>
        <v>41.371328204126556</v>
      </c>
      <c r="F11" s="155"/>
      <c r="L11" s="136"/>
      <c r="M11" s="144">
        <f t="shared" si="1"/>
        <v>2025</v>
      </c>
      <c r="N11" s="145">
        <f t="shared" si="6"/>
        <v>16049.059108657599</v>
      </c>
      <c r="O11" s="146">
        <f t="shared" si="2"/>
        <v>1.6195161250556867E-2</v>
      </c>
      <c r="P11" s="147">
        <f t="shared" si="3"/>
        <v>0.59006729900528798</v>
      </c>
      <c r="Q11" s="148">
        <f t="shared" si="4"/>
        <v>1</v>
      </c>
      <c r="R11" s="37">
        <f>IF(M11=Year_Open_to_Traffic?,Calculations!$J$5,Calculations!R10+(Calculations!R10*Calculations!O11*Q11))</f>
        <v>1392625.3369535971</v>
      </c>
      <c r="S11" s="54">
        <f t="shared" si="0"/>
        <v>1</v>
      </c>
      <c r="T11" s="37">
        <f t="shared" si="5"/>
        <v>1392.6253369535971</v>
      </c>
      <c r="U11" s="142">
        <f>T11/(1+Real_Discount_Rate)^(Calculations!M11-'Assumed Values'!$C$5)</f>
        <v>867.25706912979433</v>
      </c>
    </row>
    <row r="12" spans="1:21" ht="15.75" x14ac:dyDescent="0.25">
      <c r="A12" s="152" t="s">
        <v>75</v>
      </c>
      <c r="B12" s="156">
        <f>'Inputs &amp; Outputs'!C27/_2018_Peak_Period_Capacity</f>
        <v>1.1815144766146994</v>
      </c>
      <c r="D12" s="152" t="s">
        <v>140</v>
      </c>
      <c r="E12" s="154">
        <f>IF('Inputs &amp; Outputs'!$C$8='CRASH RATES'!$D$3, VLOOKUP('Inputs &amp; Outputs'!$C$7,'CRASH RATES'!$C$14:$J$21,6,FALSE), VLOOKUP('Inputs &amp; Outputs'!$C$7,'CRASH RATES'!$C$28:$J$35,6,FALSE))</f>
        <v>63.089495333659421</v>
      </c>
      <c r="F12" s="155"/>
      <c r="L12" s="136"/>
      <c r="M12" s="137">
        <f t="shared" si="1"/>
        <v>2026</v>
      </c>
      <c r="N12" s="145">
        <f t="shared" si="6"/>
        <v>16475.608118997559</v>
      </c>
      <c r="O12" s="146">
        <f t="shared" ref="O12:O36" si="7">IFERROR(_2025_2045_Demand_Growth,_2018_2045_Demand_Growth)</f>
        <v>2.6577820385112805E-2</v>
      </c>
      <c r="P12" s="147">
        <f t="shared" ref="P12:P36" si="8">P11*(1+IFERROR(_2025_2040_V_C_Growth,_2018_2045_V_C_Growth))</f>
        <v>0.60130913572770683</v>
      </c>
      <c r="Q12" s="148">
        <f t="shared" si="4"/>
        <v>1</v>
      </c>
      <c r="R12" s="37">
        <f>IF(M12=Year_Open_to_Traffic?,Calculations!$J$5,Calculations!R11+(Calculations!R11*Calculations!O12*Q12))</f>
        <v>1429638.2830229071</v>
      </c>
      <c r="S12" s="54">
        <f t="shared" si="0"/>
        <v>1</v>
      </c>
      <c r="T12" s="37">
        <f t="shared" si="5"/>
        <v>1429.638283022907</v>
      </c>
      <c r="U12" s="142">
        <f>T12/(1+Real_Discount_Rate)^(Calculations!M12-'Assumed Values'!$C$5)</f>
        <v>832.06249695406109</v>
      </c>
    </row>
    <row r="13" spans="1:21" ht="15.75" x14ac:dyDescent="0.25">
      <c r="A13" s="152" t="s">
        <v>74</v>
      </c>
      <c r="B13" s="156">
        <f>_2025_Peak_Period_Volume/_2025_Peak_Period_Capacity</f>
        <v>0.69717305595168189</v>
      </c>
      <c r="D13" s="152" t="s">
        <v>141</v>
      </c>
      <c r="E13" s="154">
        <f>IF('Inputs &amp; Outputs'!$C$8='CRASH RATES'!$D$3, VLOOKUP('Inputs &amp; Outputs'!$C$7,'CRASH RATES'!$C$14:$J$21,7,FALSE), VLOOKUP('Inputs &amp; Outputs'!$C$7,'CRASH RATES'!$C$28:$J$35,7,FALSE))</f>
        <v>590.98337079199359</v>
      </c>
      <c r="F13" s="155"/>
      <c r="L13" s="136"/>
      <c r="M13" s="144">
        <f t="shared" si="1"/>
        <v>2027</v>
      </c>
      <c r="N13" s="145">
        <f t="shared" si="6"/>
        <v>16913.493872319781</v>
      </c>
      <c r="O13" s="146">
        <f t="shared" si="7"/>
        <v>2.6577820385112805E-2</v>
      </c>
      <c r="P13" s="147">
        <f t="shared" si="8"/>
        <v>0.61276514953315775</v>
      </c>
      <c r="Q13" s="148">
        <f t="shared" si="4"/>
        <v>1</v>
      </c>
      <c r="R13" s="37">
        <f>IF(M13=Year_Open_to_Traffic?,Calculations!$J$5,Calculations!R12+(Calculations!R12*Calculations!O13*Q13))</f>
        <v>1467634.952524771</v>
      </c>
      <c r="S13" s="54">
        <f t="shared" si="0"/>
        <v>1</v>
      </c>
      <c r="T13" s="37">
        <f t="shared" si="5"/>
        <v>1467.6349525247711</v>
      </c>
      <c r="U13" s="142">
        <f>T13/(1+Real_Discount_Rate)^(Calculations!M13-'Assumed Values'!$C$5)</f>
        <v>798.29617247410715</v>
      </c>
    </row>
    <row r="14" spans="1:21" ht="15.75" x14ac:dyDescent="0.25">
      <c r="A14" s="152" t="s">
        <v>148</v>
      </c>
      <c r="B14" s="156">
        <f>_2045_Peak_Period_Volume/_2045_Peak_Period_Capacity</f>
        <v>1.0168706103830281</v>
      </c>
      <c r="D14" s="152" t="s">
        <v>142</v>
      </c>
      <c r="E14" s="154">
        <f>IF('Inputs &amp; Outputs'!$C$8='CRASH RATES'!$D$3, VLOOKUP('Inputs &amp; Outputs'!$C$7,'CRASH RATES'!$C$14:$J$21,8,FALSE), VLOOKUP('Inputs &amp; Outputs'!$C$7,'CRASH RATES'!$C$28:$J$35,8,FALSE))</f>
        <v>22.750670157002467</v>
      </c>
      <c r="F14" s="155"/>
      <c r="L14" s="136"/>
      <c r="M14" s="137">
        <f>M13+1</f>
        <v>2028</v>
      </c>
      <c r="N14" s="145">
        <f t="shared" si="6"/>
        <v>17363.017674543004</v>
      </c>
      <c r="O14" s="146">
        <f t="shared" si="7"/>
        <v>2.6577820385112805E-2</v>
      </c>
      <c r="P14" s="147">
        <f>P13*(1+IFERROR(_2025_2040_V_C_Growth,_2018_2045_V_C_Growth))</f>
        <v>0.62443942087788895</v>
      </c>
      <c r="Q14" s="148">
        <f t="shared" si="4"/>
        <v>1</v>
      </c>
      <c r="R14" s="37">
        <f>IF(M14=Year_Open_to_Traffic?,Calculations!$J$5,Calculations!R13+(Calculations!R13*Calculations!O14*Q14))</f>
        <v>1506641.4906838879</v>
      </c>
      <c r="S14" s="54">
        <f t="shared" si="0"/>
        <v>1</v>
      </c>
      <c r="T14" s="37">
        <f t="shared" si="5"/>
        <v>1506.6414906838879</v>
      </c>
      <c r="U14" s="142">
        <f>T14/(1+Real_Discount_Rate)^(Calculations!M14-'Assumed Values'!$C$5)</f>
        <v>765.90013528995041</v>
      </c>
    </row>
    <row r="15" spans="1:21" ht="15.75" x14ac:dyDescent="0.25">
      <c r="A15" s="152" t="s">
        <v>80</v>
      </c>
      <c r="B15" s="153">
        <f>(B13/B12)^(1/(2025-2018))-1</f>
        <v>-7.2590266661137659E-2</v>
      </c>
      <c r="L15" s="136"/>
      <c r="M15" s="144">
        <f>M14+1</f>
        <v>2029</v>
      </c>
      <c r="N15" s="145">
        <f t="shared" si="6"/>
        <v>17824.488839640548</v>
      </c>
      <c r="O15" s="146">
        <f t="shared" si="7"/>
        <v>2.6577820385112805E-2</v>
      </c>
      <c r="P15" s="147">
        <f>P14*(1+IFERROR(_2025_2040_V_C_Growth,_2018_2045_V_C_Growth))</f>
        <v>0.63633610795813356</v>
      </c>
      <c r="Q15" s="148">
        <f t="shared" si="4"/>
        <v>1</v>
      </c>
      <c r="R15" s="37">
        <f>IF(M15=Year_Open_to_Traffic?,Calculations!$J$5,Calculations!R14+(Calculations!R14*Calculations!O15*Q15))</f>
        <v>1546684.7376080428</v>
      </c>
      <c r="S15" s="54">
        <f t="shared" si="0"/>
        <v>1</v>
      </c>
      <c r="T15" s="37">
        <f t="shared" si="5"/>
        <v>1546.6847376080427</v>
      </c>
      <c r="U15" s="142">
        <f>T15/(1+Real_Discount_Rate)^(Calculations!M15-'Assumed Values'!$C$5)</f>
        <v>734.81877712020571</v>
      </c>
    </row>
    <row r="16" spans="1:21" ht="15.75" x14ac:dyDescent="0.25">
      <c r="A16" s="152" t="s">
        <v>108</v>
      </c>
      <c r="B16" s="153">
        <f>(B14/B13)^(1/(2045-2025))-1</f>
        <v>1.9051787383184804E-2</v>
      </c>
      <c r="D16" s="157" t="s">
        <v>136</v>
      </c>
      <c r="E16" s="151"/>
      <c r="L16" s="136"/>
      <c r="M16" s="137">
        <f t="shared" si="1"/>
        <v>2030</v>
      </c>
      <c r="N16" s="145">
        <f t="shared" si="6"/>
        <v>18298.224902476963</v>
      </c>
      <c r="O16" s="146">
        <f t="shared" si="7"/>
        <v>2.6577820385112805E-2</v>
      </c>
      <c r="P16" s="147">
        <f t="shared" si="8"/>
        <v>0.64845944819119528</v>
      </c>
      <c r="Q16" s="148">
        <f t="shared" si="4"/>
        <v>1</v>
      </c>
      <c r="R16" s="37">
        <f>IF(M16=Year_Open_to_Traffic?,Calculations!$J$5,Calculations!R15+(Calculations!R15*Calculations!O16*Q16))</f>
        <v>1587792.2467565846</v>
      </c>
      <c r="S16" s="54">
        <f t="shared" si="0"/>
        <v>1</v>
      </c>
      <c r="T16" s="37">
        <f t="shared" si="5"/>
        <v>1587.7922467565845</v>
      </c>
      <c r="U16" s="142">
        <f>T16/(1+Real_Discount_Rate)^(Calculations!M16-'Assumed Values'!$C$5)</f>
        <v>704.9987463496401</v>
      </c>
    </row>
    <row r="17" spans="1:21" ht="15.75" x14ac:dyDescent="0.25">
      <c r="A17" s="152" t="s">
        <v>109</v>
      </c>
      <c r="B17" s="153">
        <f>(B14/B12)^(1/(2045-2018))-1</f>
        <v>-5.5426266538425306E-3</v>
      </c>
      <c r="D17" s="152" t="s">
        <v>89</v>
      </c>
      <c r="E17" s="158">
        <f>($E$6*Death_Rate)/100000000</f>
        <v>0.21850637675759851</v>
      </c>
      <c r="L17" s="136"/>
      <c r="M17" s="144">
        <f t="shared" si="1"/>
        <v>2031</v>
      </c>
      <c r="N17" s="145">
        <f t="shared" si="6"/>
        <v>18784.551837301395</v>
      </c>
      <c r="O17" s="146">
        <f t="shared" si="7"/>
        <v>2.6577820385112805E-2</v>
      </c>
      <c r="P17" s="147">
        <f t="shared" si="8"/>
        <v>0.66081375972475132</v>
      </c>
      <c r="Q17" s="148">
        <f t="shared" si="4"/>
        <v>1</v>
      </c>
      <c r="R17" s="37">
        <f>IF(M17=Year_Open_to_Traffic?,Calculations!$J$5,Calculations!R16+(Calculations!R16*Calculations!O17*Q17))</f>
        <v>1629992.3038997559</v>
      </c>
      <c r="S17" s="54">
        <f t="shared" si="0"/>
        <v>1</v>
      </c>
      <c r="T17" s="37">
        <f t="shared" si="5"/>
        <v>1629.9923038997558</v>
      </c>
      <c r="U17" s="142">
        <f>T17/(1+Real_Discount_Rate)^(Calculations!M17-'Assumed Values'!$C$5)</f>
        <v>676.38885645032758</v>
      </c>
    </row>
    <row r="18" spans="1:21" ht="15.75" x14ac:dyDescent="0.25">
      <c r="D18" s="152" t="s">
        <v>94</v>
      </c>
      <c r="E18" s="158">
        <f>($E$6*Incap_Injry_Rate)/100000000</f>
        <v>1.3668271226964674</v>
      </c>
      <c r="L18" s="136"/>
      <c r="M18" s="137">
        <f t="shared" si="1"/>
        <v>2032</v>
      </c>
      <c r="N18" s="145">
        <f t="shared" si="6"/>
        <v>19283.804282048033</v>
      </c>
      <c r="O18" s="146">
        <f t="shared" si="7"/>
        <v>2.6577820385112805E-2</v>
      </c>
      <c r="P18" s="147">
        <f t="shared" si="8"/>
        <v>0.67340344297491028</v>
      </c>
      <c r="Q18" s="148">
        <f t="shared" si="4"/>
        <v>1</v>
      </c>
      <c r="R18" s="37">
        <f>IF(M18=Year_Open_to_Traffic?,Calculations!$J$5,Calculations!R17+(Calculations!R17*Calculations!O18*Q18))</f>
        <v>1673313.9465819199</v>
      </c>
      <c r="S18" s="54">
        <f t="shared" si="0"/>
        <v>1</v>
      </c>
      <c r="T18" s="37">
        <f t="shared" si="5"/>
        <v>1673.3139465819199</v>
      </c>
      <c r="U18" s="142">
        <f>T18/(1+Real_Discount_Rate)^(Calculations!M18-'Assumed Values'!$C$5)</f>
        <v>648.93999811921151</v>
      </c>
    </row>
    <row r="19" spans="1:21" ht="15.75" x14ac:dyDescent="0.25">
      <c r="D19" s="152" t="s">
        <v>93</v>
      </c>
      <c r="E19" s="158">
        <f>($E$6*Nonincap_Injry_Rate)/100000000</f>
        <v>5.4022214849431798</v>
      </c>
      <c r="L19" s="136"/>
      <c r="M19" s="144">
        <f t="shared" si="1"/>
        <v>2033</v>
      </c>
      <c r="N19" s="145">
        <f t="shared" si="6"/>
        <v>19796.325768597973</v>
      </c>
      <c r="O19" s="146">
        <f t="shared" si="7"/>
        <v>2.6577820385112805E-2</v>
      </c>
      <c r="P19" s="147">
        <f t="shared" si="8"/>
        <v>0.68623298219357287</v>
      </c>
      <c r="Q19" s="148">
        <f t="shared" si="4"/>
        <v>1</v>
      </c>
      <c r="R19" s="37">
        <f>IF(M19=Year_Open_to_Traffic?,Calculations!$J$5,Calculations!R18+(Calculations!R18*Calculations!O19*Q19))</f>
        <v>1717786.9841020785</v>
      </c>
      <c r="S19" s="54">
        <f t="shared" si="0"/>
        <v>1</v>
      </c>
      <c r="T19" s="37">
        <f t="shared" si="5"/>
        <v>1717.7869841020786</v>
      </c>
      <c r="U19" s="142">
        <f>T19/(1+Real_Discount_Rate)^(Calculations!M19-'Assumed Values'!$C$5)</f>
        <v>622.60505498125178</v>
      </c>
    </row>
    <row r="20" spans="1:21" ht="15.75" x14ac:dyDescent="0.25">
      <c r="D20" s="152" t="s">
        <v>92</v>
      </c>
      <c r="E20" s="158">
        <f>($E$6*Poss_Injry_Rate/100000000)</f>
        <v>8.2381553109460537</v>
      </c>
      <c r="L20" s="136"/>
      <c r="M20" s="137">
        <f t="shared" si="1"/>
        <v>2034</v>
      </c>
      <c r="N20" s="145">
        <f t="shared" si="6"/>
        <v>20322.468959160949</v>
      </c>
      <c r="O20" s="146">
        <f t="shared" si="7"/>
        <v>2.6577820385112805E-2</v>
      </c>
      <c r="P20" s="147">
        <f t="shared" si="8"/>
        <v>0.69930694706565366</v>
      </c>
      <c r="Q20" s="148">
        <f t="shared" si="4"/>
        <v>1</v>
      </c>
      <c r="R20" s="37">
        <f>IF(M20=Year_Open_to_Traffic?,Calculations!$J$5,Calculations!R19+(Calculations!R19*Calculations!O20*Q20))</f>
        <v>1763442.0180254281</v>
      </c>
      <c r="S20" s="54">
        <f t="shared" si="0"/>
        <v>1</v>
      </c>
      <c r="T20" s="37">
        <f t="shared" si="5"/>
        <v>1763.4420180254281</v>
      </c>
      <c r="U20" s="142">
        <f>T20/(1+Real_Discount_Rate)^(Calculations!M20-'Assumed Values'!$C$5)</f>
        <v>597.33882271346431</v>
      </c>
    </row>
    <row r="21" spans="1:21" ht="15.75" x14ac:dyDescent="0.25">
      <c r="D21" s="152" t="s">
        <v>91</v>
      </c>
      <c r="E21" s="158">
        <f>($E$6*Non_Injry_Rate)/100000000</f>
        <v>77.169943570199507</v>
      </c>
      <c r="L21" s="136"/>
      <c r="M21" s="144">
        <f>M20+1</f>
        <v>2035</v>
      </c>
      <c r="N21" s="145">
        <f t="shared" si="6"/>
        <v>20862.595888939559</v>
      </c>
      <c r="O21" s="146">
        <f t="shared" si="7"/>
        <v>2.6577820385112805E-2</v>
      </c>
      <c r="P21" s="147">
        <f>P20*(1+IFERROR(_2025_2040_V_C_Growth,_2018_2045_V_C_Growth))</f>
        <v>0.71262999433673258</v>
      </c>
      <c r="Q21" s="148">
        <f t="shared" si="4"/>
        <v>1</v>
      </c>
      <c r="R21" s="37">
        <f>IF(M21=Year_Open_to_Traffic?,Calculations!$J$5,Calculations!R20+(Calculations!R20*Calculations!O21*Q21))</f>
        <v>1810310.4632400686</v>
      </c>
      <c r="S21" s="54">
        <f t="shared" si="0"/>
        <v>1</v>
      </c>
      <c r="T21" s="37">
        <f t="shared" si="5"/>
        <v>1810.3104632400687</v>
      </c>
      <c r="U21" s="142">
        <f>T21/(1+Real_Discount_Rate)^(Calculations!M21-'Assumed Values'!$C$5)</f>
        <v>573.0979314510256</v>
      </c>
    </row>
    <row r="22" spans="1:21" ht="15.75" x14ac:dyDescent="0.25">
      <c r="D22" s="152" t="s">
        <v>90</v>
      </c>
      <c r="E22" s="158">
        <f>($E$6*Unkn_Injry_Rate)/100000000</f>
        <v>2.9707569095341579</v>
      </c>
      <c r="L22" s="136"/>
      <c r="M22" s="137">
        <f>M21+1</f>
        <v>2036</v>
      </c>
      <c r="N22" s="145">
        <f t="shared" si="6"/>
        <v>21417.078215242986</v>
      </c>
      <c r="O22" s="146">
        <f t="shared" si="7"/>
        <v>2.6577820385112805E-2</v>
      </c>
      <c r="P22" s="147">
        <f t="shared" si="8"/>
        <v>0.7262068694717162</v>
      </c>
      <c r="Q22" s="148">
        <f t="shared" si="4"/>
        <v>1</v>
      </c>
      <c r="R22" s="37">
        <f>IF(M22=Year_Open_to_Traffic?,Calculations!$J$5,Calculations!R21+(Calculations!R21*Calculations!O22*Q22))</f>
        <v>1858424.5695733535</v>
      </c>
      <c r="S22" s="54">
        <f t="shared" si="0"/>
        <v>1</v>
      </c>
      <c r="T22" s="37">
        <f t="shared" si="5"/>
        <v>1858.4245695733534</v>
      </c>
      <c r="U22" s="142">
        <f>T22/(1+Real_Discount_Rate)^(Calculations!M22-'Assumed Values'!$C$5)</f>
        <v>549.84077134225288</v>
      </c>
    </row>
    <row r="23" spans="1:21" ht="15.75" x14ac:dyDescent="0.25">
      <c r="L23" s="136"/>
      <c r="M23" s="144">
        <f t="shared" si="1"/>
        <v>2037</v>
      </c>
      <c r="N23" s="145">
        <f t="shared" si="6"/>
        <v>21986.297473221624</v>
      </c>
      <c r="O23" s="146">
        <f t="shared" si="7"/>
        <v>2.6577820385112805E-2</v>
      </c>
      <c r="P23" s="147">
        <f t="shared" si="8"/>
        <v>0.7400424083450996</v>
      </c>
      <c r="Q23" s="148">
        <f t="shared" si="4"/>
        <v>1</v>
      </c>
      <c r="R23" s="37">
        <f>IF(M23=Year_Open_to_Traffic?,Calculations!$J$5,Calculations!R22+(Calculations!R22*Calculations!O23*Q23))</f>
        <v>1907817.4439827546</v>
      </c>
      <c r="S23" s="54">
        <f t="shared" si="0"/>
        <v>1</v>
      </c>
      <c r="T23" s="37">
        <f t="shared" si="5"/>
        <v>1907.8174439827546</v>
      </c>
      <c r="U23" s="142">
        <f>T23/(1+Real_Discount_Rate)^(Calculations!M23-'Assumed Values'!$C$5)</f>
        <v>527.52742112467217</v>
      </c>
    </row>
    <row r="24" spans="1:21" ht="15.75" x14ac:dyDescent="0.25">
      <c r="L24" s="136"/>
      <c r="M24" s="137">
        <f t="shared" si="1"/>
        <v>2038</v>
      </c>
      <c r="N24" s="145">
        <f t="shared" si="6"/>
        <v>22570.645338398568</v>
      </c>
      <c r="O24" s="146">
        <f t="shared" si="7"/>
        <v>2.6577820385112805E-2</v>
      </c>
      <c r="P24" s="147">
        <f t="shared" si="8"/>
        <v>0.7541415389634305</v>
      </c>
      <c r="Q24" s="148">
        <f t="shared" si="4"/>
        <v>1</v>
      </c>
      <c r="R24" s="37">
        <f>IF(M24=Year_Open_to_Traffic?,Calculations!$J$5,Calculations!R23+(Calculations!R23*Calculations!O24*Q24))</f>
        <v>1958523.0733365132</v>
      </c>
      <c r="S24" s="54">
        <f t="shared" si="0"/>
        <v>1</v>
      </c>
      <c r="T24" s="37">
        <f t="shared" si="5"/>
        <v>1958.5230733365133</v>
      </c>
      <c r="U24" s="142">
        <f>T24/(1+Real_Discount_Rate)^(Calculations!M24-'Assumed Values'!$C$5)</f>
        <v>506.11957959957522</v>
      </c>
    </row>
    <row r="25" spans="1:21" ht="15.75" x14ac:dyDescent="0.25">
      <c r="A25" s="183" t="s">
        <v>99</v>
      </c>
      <c r="B25" s="183"/>
      <c r="D25" s="159" t="s">
        <v>89</v>
      </c>
      <c r="E25" s="159" t="s">
        <v>94</v>
      </c>
      <c r="F25" s="159" t="s">
        <v>93</v>
      </c>
      <c r="G25" s="159" t="s">
        <v>92</v>
      </c>
      <c r="H25" s="159" t="s">
        <v>91</v>
      </c>
      <c r="I25" s="159" t="s">
        <v>90</v>
      </c>
      <c r="J25" s="184" t="s">
        <v>100</v>
      </c>
      <c r="L25" s="136"/>
      <c r="M25" s="144">
        <f t="shared" si="1"/>
        <v>2039</v>
      </c>
      <c r="N25" s="145">
        <f t="shared" si="6"/>
        <v>23170.523896178609</v>
      </c>
      <c r="O25" s="146">
        <f t="shared" si="7"/>
        <v>2.6577820385112805E-2</v>
      </c>
      <c r="P25" s="147">
        <f t="shared" si="8"/>
        <v>0.76850928322058953</v>
      </c>
      <c r="Q25" s="148">
        <f t="shared" si="4"/>
        <v>1</v>
      </c>
      <c r="R25" s="37">
        <f>IF(M25=Year_Open_to_Traffic?,Calculations!$J$5,Calculations!R24+(Calculations!R24*Calculations!O25*Q25))</f>
        <v>2010576.3477997503</v>
      </c>
      <c r="S25" s="54">
        <f t="shared" si="0"/>
        <v>1</v>
      </c>
      <c r="T25" s="37">
        <f t="shared" si="5"/>
        <v>2010.5763477997502</v>
      </c>
      <c r="U25" s="142">
        <f>T25/(1+Real_Discount_Rate)^(Calculations!M25-'Assumed Values'!$C$5)</f>
        <v>485.58049988744062</v>
      </c>
    </row>
    <row r="26" spans="1:21" ht="15.75" x14ac:dyDescent="0.25">
      <c r="A26" s="183"/>
      <c r="B26" s="183"/>
      <c r="D26" s="160">
        <f>Calculations!E17</f>
        <v>0.21850637675759851</v>
      </c>
      <c r="E26" s="160">
        <f>Calculations!E18</f>
        <v>1.3668271226964674</v>
      </c>
      <c r="F26" s="160">
        <f>Calculations!E19</f>
        <v>5.4022214849431798</v>
      </c>
      <c r="G26" s="160">
        <f>Calculations!E20</f>
        <v>8.2381553109460537</v>
      </c>
      <c r="H26" s="160">
        <f>Calculations!E21</f>
        <v>77.169943570199507</v>
      </c>
      <c r="I26" s="160">
        <f>Calculations!E22</f>
        <v>2.9707569095341579</v>
      </c>
      <c r="J26" s="184"/>
      <c r="L26" s="136"/>
      <c r="M26" s="137">
        <f t="shared" si="1"/>
        <v>2040</v>
      </c>
      <c r="N26" s="145">
        <f t="shared" si="6"/>
        <v>23786.345918520208</v>
      </c>
      <c r="O26" s="146">
        <f t="shared" si="7"/>
        <v>2.6577820385112805E-2</v>
      </c>
      <c r="P26" s="147">
        <f t="shared" si="8"/>
        <v>0.78315075868651196</v>
      </c>
      <c r="Q26" s="148">
        <f t="shared" si="4"/>
        <v>1</v>
      </c>
      <c r="R26" s="37">
        <f>IF(M26=Year_Open_to_Traffic?,Calculations!$J$5,Calculations!R25+(Calculations!R25*Calculations!O26*Q26))</f>
        <v>2064013.0848421282</v>
      </c>
      <c r="S26" s="54">
        <f t="shared" si="0"/>
        <v>1</v>
      </c>
      <c r="T26" s="37">
        <f t="shared" si="5"/>
        <v>2064.0130848421281</v>
      </c>
      <c r="U26" s="142">
        <f>T26/(1+Real_Discount_Rate)^(Calculations!M26-'Assumed Values'!$C$5)</f>
        <v>465.8749263513667</v>
      </c>
    </row>
    <row r="27" spans="1:21" ht="15.75" x14ac:dyDescent="0.25">
      <c r="A27" s="161" t="s">
        <v>95</v>
      </c>
      <c r="B27" s="162" t="s">
        <v>96</v>
      </c>
      <c r="D27" s="163">
        <f>D$26*'Value of Statistical Life'!D17*Appropriate_Crash_Reduction_Factor</f>
        <v>0</v>
      </c>
      <c r="E27" s="163">
        <f>E$26*'Value of Statistical Life'!E17*Appropriate_Crash_Reduction_Factor</f>
        <v>1.3153797497981724E-2</v>
      </c>
      <c r="F27" s="163">
        <f>F$26*'Value of Statistical Life'!F17*Appropriate_Crash_Reduction_Factor</f>
        <v>0.12625855965749805</v>
      </c>
      <c r="G27" s="163">
        <f>G$26*'Value of Statistical Life'!G17*Appropriate_Crash_Reduction_Factor</f>
        <v>0.54061740886339948</v>
      </c>
      <c r="H27" s="163">
        <f>H$26*'Value of Statistical Life'!H17*Appropriate_Crash_Reduction_Factor</f>
        <v>19.994361963309558</v>
      </c>
      <c r="I27" s="163">
        <f>I$26*'Value of Statistical Life'!I17*Appropriate_Crash_Reduction_Factor</f>
        <v>0.36330218058627889</v>
      </c>
      <c r="J27" s="163">
        <f t="shared" ref="J27:J33" si="9">SUM(D27:I27)</f>
        <v>21.037693909914715</v>
      </c>
      <c r="K27" s="164"/>
      <c r="L27" s="136"/>
      <c r="M27" s="144">
        <f t="shared" si="1"/>
        <v>2041</v>
      </c>
      <c r="N27" s="145">
        <f t="shared" si="6"/>
        <v>24418.5351479608</v>
      </c>
      <c r="O27" s="146">
        <f t="shared" si="7"/>
        <v>2.6577820385112805E-2</v>
      </c>
      <c r="P27" s="147">
        <f t="shared" si="8"/>
        <v>0.79807118042998726</v>
      </c>
      <c r="Q27" s="148">
        <f t="shared" si="4"/>
        <v>1</v>
      </c>
      <c r="R27" s="37">
        <f>IF(M27=Year_Open_to_Traffic?,Calculations!$J$5,Calculations!R26+(Calculations!R26*Calculations!O27*Q27))</f>
        <v>2118870.0538835847</v>
      </c>
      <c r="S27" s="54">
        <f t="shared" si="0"/>
        <v>1</v>
      </c>
      <c r="T27" s="37">
        <f t="shared" si="5"/>
        <v>2118.8700538835847</v>
      </c>
      <c r="U27" s="142">
        <f>T27/(1+Real_Discount_Rate)^(Calculations!M27-'Assumed Values'!$C$5)</f>
        <v>446.96903408024383</v>
      </c>
    </row>
    <row r="28" spans="1:21" ht="15.75" x14ac:dyDescent="0.25">
      <c r="A28" s="161" t="s">
        <v>61</v>
      </c>
      <c r="B28" s="165" t="s">
        <v>62</v>
      </c>
      <c r="D28" s="163">
        <f>D$26*'Value of Statistical Life'!D18*Appropriate_Crash_Reduction_Factor</f>
        <v>0</v>
      </c>
      <c r="E28" s="163">
        <f>E$26*'Value of Statistical Life'!E18*Appropriate_Crash_Reduction_Factor</f>
        <v>0.21220975195391001</v>
      </c>
      <c r="F28" s="163">
        <f>F$26*'Value of Statistical Life'!F18*Appropriate_Crash_Reduction_Factor</f>
        <v>1.1623441355889685</v>
      </c>
      <c r="G28" s="163">
        <f>G$26*'Value of Statistical Life'!G18*Appropriate_Crash_Reduction_Factor</f>
        <v>1.5903659969917627</v>
      </c>
      <c r="H28" s="163">
        <f>H$26*'Value of Statistical Life'!H18*Appropriate_Crash_Reduction_Factor</f>
        <v>1.5680623853690259</v>
      </c>
      <c r="I28" s="163">
        <f>I$26*'Value of Statistical Life'!I18*Appropriate_Crash_Reduction_Factor</f>
        <v>0.34718998341172946</v>
      </c>
      <c r="J28" s="163">
        <f t="shared" si="9"/>
        <v>4.8801722533153962</v>
      </c>
      <c r="K28" s="164"/>
      <c r="L28" s="136"/>
      <c r="M28" s="137">
        <f t="shared" si="1"/>
        <v>2042</v>
      </c>
      <c r="N28" s="145">
        <f t="shared" si="6"/>
        <v>25067.526589190868</v>
      </c>
      <c r="O28" s="146">
        <f t="shared" si="7"/>
        <v>2.6577820385112805E-2</v>
      </c>
      <c r="P28" s="147">
        <f t="shared" si="8"/>
        <v>0.81327586287618669</v>
      </c>
      <c r="Q28" s="148">
        <f t="shared" si="4"/>
        <v>1</v>
      </c>
      <c r="R28" s="37">
        <f>IF(M28=Year_Open_to_Traffic?,Calculations!$J$5,Calculations!R27+(Calculations!R27*Calculations!O28*Q28))</f>
        <v>2175185.0015950967</v>
      </c>
      <c r="S28" s="54">
        <f t="shared" si="0"/>
        <v>1</v>
      </c>
      <c r="T28" s="37">
        <f t="shared" si="5"/>
        <v>2175.1850015950968</v>
      </c>
      <c r="U28" s="142">
        <f>T28/(1+Real_Discount_Rate)^(Calculations!M28-'Assumed Values'!$C$5)</f>
        <v>428.83037082779055</v>
      </c>
    </row>
    <row r="29" spans="1:21" ht="15.75" x14ac:dyDescent="0.25">
      <c r="A29" s="161" t="s">
        <v>63</v>
      </c>
      <c r="B29" s="165" t="s">
        <v>64</v>
      </c>
      <c r="D29" s="163">
        <f>D$26*'Value of Statistical Life'!D19*Appropriate_Crash_Reduction_Factor</f>
        <v>0</v>
      </c>
      <c r="E29" s="163">
        <f>E$26*'Value of Statistical Life'!E19*Appropriate_Crash_Reduction_Factor</f>
        <v>8.0017340147745683E-2</v>
      </c>
      <c r="F29" s="163">
        <f>F$26*'Value of Statistical Life'!F19*Appropriate_Crash_Reduction_Factor</f>
        <v>0.16484554728015016</v>
      </c>
      <c r="G29" s="163">
        <f>G$26*'Value of Statistical Life'!G19*Appropriate_Crash_Reduction_Factor</f>
        <v>0.14742014165831743</v>
      </c>
      <c r="H29" s="163">
        <f>H$26*'Value of Statistical Life'!H19*Appropriate_Crash_Reduction_Factor</f>
        <v>4.278301671531861E-2</v>
      </c>
      <c r="I29" s="163">
        <f>I$26*'Value of Statistical Life'!I19*Appropriate_Crash_Reduction_Factor</f>
        <v>7.3798354843883737E-2</v>
      </c>
      <c r="J29" s="163">
        <f t="shared" si="9"/>
        <v>0.5088644006454156</v>
      </c>
      <c r="K29" s="164"/>
      <c r="L29" s="136"/>
      <c r="M29" s="144">
        <f t="shared" si="1"/>
        <v>2043</v>
      </c>
      <c r="N29" s="145">
        <f t="shared" si="6"/>
        <v>25733.766808377422</v>
      </c>
      <c r="O29" s="146">
        <f t="shared" si="7"/>
        <v>2.6577820385112805E-2</v>
      </c>
      <c r="P29" s="147">
        <f t="shared" si="8"/>
        <v>0.82877022169957992</v>
      </c>
      <c r="Q29" s="148">
        <f t="shared" si="4"/>
        <v>1</v>
      </c>
      <c r="R29" s="37">
        <f>IF(M29=Year_Open_to_Traffic?,Calculations!$J$5,Calculations!R28+(Calculations!R28*Calculations!O29*Q29))</f>
        <v>2232996.6778718824</v>
      </c>
      <c r="S29" s="54">
        <f t="shared" si="0"/>
        <v>1</v>
      </c>
      <c r="T29" s="37">
        <f t="shared" si="5"/>
        <v>2232.9966778718826</v>
      </c>
      <c r="U29" s="142">
        <f>T29/(1+Real_Discount_Rate)^(Calculations!M29-'Assumed Values'!$C$5)</f>
        <v>411.42780130778772</v>
      </c>
    </row>
    <row r="30" spans="1:21" ht="15.75" x14ac:dyDescent="0.25">
      <c r="A30" s="161" t="s">
        <v>65</v>
      </c>
      <c r="B30" s="165" t="s">
        <v>66</v>
      </c>
      <c r="D30" s="163">
        <f>D$26*'Value of Statistical Life'!D20*Appropriate_Crash_Reduction_Factor</f>
        <v>0</v>
      </c>
      <c r="E30" s="163">
        <f>E$26*'Value of Statistical Life'!E20*Appropriate_Crash_Reduction_Factor</f>
        <v>5.5252072877032925E-2</v>
      </c>
      <c r="F30" s="163">
        <f>F$26*'Value of Statistical Life'!F20*Appropriate_Crash_Reduction_Factor</f>
        <v>4.8267768523670332E-2</v>
      </c>
      <c r="G30" s="163">
        <f>G$26*'Value of Statistical Life'!G20*Appropriate_Crash_Reduction_Factor</f>
        <v>2.4704580146465031E-2</v>
      </c>
      <c r="H30" s="163">
        <f>H$26*'Value of Statistical Life'!H20*Appropriate_Crash_Reduction_Factor</f>
        <v>1.7286067359724693E-3</v>
      </c>
      <c r="I30" s="163">
        <f>I$26*'Value of Statistical Life'!I20*Appropriate_Crash_Reduction_Factor</f>
        <v>4.0068380893032905E-2</v>
      </c>
      <c r="J30" s="163">
        <f t="shared" si="9"/>
        <v>0.17002140917617367</v>
      </c>
      <c r="K30" s="164"/>
      <c r="L30" s="136"/>
      <c r="M30" s="144">
        <f t="shared" si="1"/>
        <v>2044</v>
      </c>
      <c r="N30" s="145">
        <f t="shared" si="6"/>
        <v>26417.714240442856</v>
      </c>
      <c r="O30" s="146">
        <f t="shared" si="7"/>
        <v>2.6577820385112805E-2</v>
      </c>
      <c r="P30" s="147">
        <f t="shared" si="8"/>
        <v>0.8445597757529153</v>
      </c>
      <c r="Q30" s="148">
        <f t="shared" si="4"/>
        <v>1</v>
      </c>
      <c r="R30" s="37">
        <f>IF(M30=Year_Open_to_Traffic?,Calculations!$J$5,Calculations!R29+(Calculations!R29*Calculations!O30*Q30))</f>
        <v>2292344.8624969148</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1.5254884150990735E-2</v>
      </c>
      <c r="F31" s="163">
        <f>F$26*'Value of Statistical Life'!F21*Appropriate_Crash_Reduction_Factor</f>
        <v>9.3782564978613595E-3</v>
      </c>
      <c r="G31" s="163">
        <f>G$26*'Value of Statistical Life'!G21*Appropriate_Crash_Reduction_Factor</f>
        <v>3.2754905516321512E-3</v>
      </c>
      <c r="H31" s="163">
        <f>H$26*'Value of Statistical Life'!H21*Appropriate_Crash_Reduction_Factor</f>
        <v>0</v>
      </c>
      <c r="I31" s="163">
        <f>I$26*'Value of Statistical Life'!I21*Appropriate_Crash_Reduction_Factor</f>
        <v>5.1322796369112121E-3</v>
      </c>
      <c r="J31" s="163">
        <f t="shared" si="9"/>
        <v>3.3040910837395458E-2</v>
      </c>
      <c r="K31" s="164"/>
      <c r="L31" s="136"/>
      <c r="M31" s="144">
        <f t="shared" si="1"/>
        <v>2045</v>
      </c>
      <c r="N31" s="145">
        <f t="shared" si="6"/>
        <v>27119.839504510583</v>
      </c>
      <c r="O31" s="146">
        <f t="shared" si="7"/>
        <v>2.6577820385112805E-2</v>
      </c>
      <c r="P31" s="147">
        <f t="shared" si="8"/>
        <v>0.86065014903295012</v>
      </c>
      <c r="Q31" s="148">
        <f t="shared" si="4"/>
        <v>1</v>
      </c>
      <c r="R31" s="37">
        <f>IF(M31=Year_Open_to_Traffic?,Calculations!$J$5,Calculations!R30+(Calculations!R30*Calculations!O31*Q31))</f>
        <v>2353270.392513094</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6.8237477273498442E-3</v>
      </c>
      <c r="F32" s="163">
        <f>F$26*'Value of Statistical Life'!F22*Appropriate_Crash_Reduction_Factor</f>
        <v>1.5277482359419316E-3</v>
      </c>
      <c r="G32" s="163">
        <f>G$26*'Value of Statistical Life'!G22*Appropriate_Crash_Reduction_Factor</f>
        <v>2.9986885331843637E-4</v>
      </c>
      <c r="H32" s="163">
        <f>H$26*'Value of Statistical Life'!H22*Appropriate_Crash_Reduction_Factor</f>
        <v>6.4822752598967599E-4</v>
      </c>
      <c r="I32" s="163">
        <f>I$26*'Value of Statistical Life'!I22*Appropriate_Crash_Reduction_Factor</f>
        <v>2.3207552977280847E-3</v>
      </c>
      <c r="J32" s="163">
        <f t="shared" si="9"/>
        <v>1.1620347640327974E-2</v>
      </c>
      <c r="K32" s="164"/>
      <c r="L32" s="136"/>
      <c r="M32" s="144">
        <f t="shared" si="1"/>
        <v>2046</v>
      </c>
      <c r="N32" s="145">
        <f t="shared" si="6"/>
        <v>27840.62572773455</v>
      </c>
      <c r="O32" s="146">
        <f t="shared" si="7"/>
        <v>2.6577820385112805E-2</v>
      </c>
      <c r="P32" s="147">
        <f t="shared" si="8"/>
        <v>0.87704707268363225</v>
      </c>
      <c r="Q32" s="148">
        <f t="shared" si="4"/>
        <v>1</v>
      </c>
      <c r="R32" s="37">
        <f>IF(M32=Year_Open_to_Traffic?,Calculations!$J$5,Calculations!R31+(Calculations!R31*Calculations!O32*Q32))</f>
        <v>2415815.1903229109</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6.1181785492127591E-2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6.1181785492127591E-2</v>
      </c>
      <c r="K33" s="164"/>
      <c r="L33" s="136"/>
      <c r="M33" s="144">
        <f t="shared" si="1"/>
        <v>2047</v>
      </c>
      <c r="N33" s="145">
        <f t="shared" si="6"/>
        <v>28580.56887773543</v>
      </c>
      <c r="O33" s="146">
        <f t="shared" si="7"/>
        <v>2.6577820385112805E-2</v>
      </c>
      <c r="P33" s="147">
        <f t="shared" si="8"/>
        <v>0.89375638703744542</v>
      </c>
      <c r="Q33" s="148">
        <f t="shared" si="4"/>
        <v>1</v>
      </c>
      <c r="R33" s="37">
        <f>IF(M33=Year_Open_to_Traffic?,Calculations!$J$5,Calculations!R32+(Calculations!R32*Calculations!O33*Q33))</f>
        <v>2480022.2925349404</v>
      </c>
      <c r="S33" s="54">
        <f t="shared" si="0"/>
        <v>0</v>
      </c>
      <c r="T33" s="37">
        <f t="shared" si="5"/>
        <v>0</v>
      </c>
      <c r="U33" s="142">
        <f>T33/(1+Real_Discount_Rate)^(Calculations!M33-'Assumed Values'!$C$5)</f>
        <v>0</v>
      </c>
    </row>
    <row r="34" spans="1:21" ht="15.75" x14ac:dyDescent="0.25">
      <c r="J34" s="166"/>
      <c r="L34" s="136"/>
      <c r="M34" s="144">
        <f t="shared" si="1"/>
        <v>2048</v>
      </c>
      <c r="N34" s="145">
        <f t="shared" si="6"/>
        <v>29340.178103872226</v>
      </c>
      <c r="O34" s="146">
        <f t="shared" si="7"/>
        <v>2.6577820385112805E-2</v>
      </c>
      <c r="P34" s="147">
        <f t="shared" si="8"/>
        <v>0.91078404369564625</v>
      </c>
      <c r="Q34" s="148">
        <f t="shared" si="4"/>
        <v>1</v>
      </c>
      <c r="R34" s="37">
        <f>IF(M34=Year_Open_to_Traffic?,Calculations!$J$5,Calculations!R33+(Calculations!R33*Calculations!O34*Q34))</f>
        <v>2545935.8795770099</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30119.97608758416</v>
      </c>
      <c r="O35" s="146">
        <f t="shared" si="7"/>
        <v>2.6577820385112805E-2</v>
      </c>
      <c r="P35" s="147">
        <f t="shared" si="8"/>
        <v>0.92813610764813304</v>
      </c>
      <c r="Q35" s="148">
        <f t="shared" si="4"/>
        <v>1</v>
      </c>
      <c r="R35" s="37">
        <f>IF(M35=Year_Open_to_Traffic?,Calculations!$J$5,Calculations!R34+(Calculations!R34*Calculations!O35*Q35))</f>
        <v>2613601.306096422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30920.499402043864</v>
      </c>
      <c r="O36" s="146">
        <f t="shared" si="7"/>
        <v>2.6577820385112805E-2</v>
      </c>
      <c r="P36" s="147">
        <f t="shared" si="8"/>
        <v>0.94581875943370197</v>
      </c>
      <c r="Q36" s="148">
        <f t="shared" si="4"/>
        <v>1</v>
      </c>
      <c r="R36" s="37">
        <f>IF(M36=Year_Open_to_Traffic?,Calculations!$J$5,Calculations!R35+(Calculations!R35*Calculations!O36*Q36))</f>
        <v>2683065.1321681491</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12557.05049645251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2018-10-24T22:49:06Z</dcterms:modified>
</cp:coreProperties>
</file>