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a\Documents\TxDOT\2018 Oct\Application\BCA\AT_Templates_Methods\AT_Templates_Methods\268_HOU_101_AT_HILL\"/>
    </mc:Choice>
  </mc:AlternateContent>
  <bookViews>
    <workbookView xWindow="0" yWindow="60" windowWidth="23250" windowHeight="131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<sst xmlns="http://schemas.openxmlformats.org/spreadsheetml/2006/main" count="291" uniqueCount="236">
  <si>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</si>
  <si>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</si>
  <si>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</si>
  <si>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</si>
  <si>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</si>
  <si>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</si>
  <si>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</si>
  <si>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</si>
  <si>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</si>
  <si>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</si>
  <si>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</si>
  <si>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</si>
  <si>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</si>
  <si>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</si>
  <si>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</si>
  <si>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</si>
  <si>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</si>
  <si>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</si>
  <si>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</si>
  <si>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</si>
  <si>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</si>
  <si>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</si>
  <si>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</si>
  <si>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</si>
  <si>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</si>
  <si>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</si>
  <si>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</si>
  <si>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</si>
  <si>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</si>
  <si>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</si>
  <si>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</si>
  <si>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</si>
  <si>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</si>
  <si>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</si>
  <si>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</si>
  <si>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</si>
  <si>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</si>
  <si>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</si>
  <si>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</si>
  <si>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</si>
  <si>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</si>
  <si>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</si>
  <si>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</si>
  <si>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</si>
  <si>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</si>
  <si>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</si>
  <si>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</si>
  <si>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</si>
  <si>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</si>
  <si>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</si>
  <si>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</si>
  <si>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</si>
  <si>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</si>
  <si>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</si>
  <si>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</si>
  <si>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</si>
  <si>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</si>
  <si>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</si>
  <si>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</si>
  <si>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</si>
  <si>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</si>
  <si>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</si>
  <si>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</si>
  <si>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</si>
  <si>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</si>
  <si>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</si>
  <si>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</si>
  <si>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</si>
  <si>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</si>
  <si>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</si>
  <si>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</si>
  <si>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</si>
  <si>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</si>
  <si>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</si>
  <si>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</si>
  <si>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</si>
  <si>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</si>
  <si>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</si>
  <si>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</si>
  <si>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</si>
  <si>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</si>
  <si>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</si>
  <si>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</si>
  <si>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</si>
  <si>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</si>
  <si>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</si>
  <si>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</si>
  <si>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</si>
  <si>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</si>
  <si>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</si>
  <si>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</si>
  <si>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</si>
  <si>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</si>
  <si>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</si>
  <si>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</si>
  <si>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</si>
  <si>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</si>
  <si>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</si>
  <si>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</si>
  <si>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</si>
  <si>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</si>
  <si>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</si>
  <si>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</si>
  <si>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</si>
  <si>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</si>
  <si>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</si>
  <si>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</si>
  <si>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</si>
  <si>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</si>
  <si>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</si>
  <si>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</si>
  <si>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</si>
  <si>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</si>
  <si>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</si>
  <si>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</si>
  <si>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</si>
  <si>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</si>
  <si>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</si>
  <si>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</si>
  <si>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</si>
  <si>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</si>
  <si>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</si>
  <si>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</si>
  <si>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</si>
  <si>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</si>
  <si>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</si>
  <si>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</si>
  <si>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</si>
  <si>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</si>
  <si>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</si>
  <si>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</si>
  <si>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</si>
  <si>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</si>
  <si>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</si>
  <si>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</si>
  <si>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</si>
  <si>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</si>
  <si>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</si>
  <si>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</si>
  <si>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</si>
  <si>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</si>
  <si>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</si>
  <si>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</si>
  <si>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</si>
  <si>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</si>
  <si>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</si>
  <si>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</si>
  <si>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</si>
  <si>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</si>
  <si>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</si>
  <si>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</si>
  <si>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</si>
  <si>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</si>
  <si>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</si>
  <si>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</si>
  <si>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</si>
  <si>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</si>
  <si>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</si>
  <si>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</si>
  <si>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</si>
  <si>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</si>
  <si>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</si>
  <si>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</si>
  <si>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</si>
  <si>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</si>
  <si>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</si>
  <si>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</si>
  <si>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</si>
  <si>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</si>
  <si>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</si>
  <si>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</si>
  <si>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</si>
  <si>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</si>
  <si>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</si>
  <si>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</si>
  <si>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</si>
  <si>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</si>
  <si>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</si>
  <si>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</si>
  <si>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</si>
  <si>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</si>
  <si>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</si>
  <si>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</si>
  <si>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</si>
  <si>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</si>
  <si>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</si>
  <si>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</si>
  <si>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</si>
  <si>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</si>
  <si>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</si>
  <si>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</si>
  <si>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</si>
  <si>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</si>
  <si>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</si>
  <si>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</si>
  <si>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</si>
  <si>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</si>
  <si>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</si>
  <si>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</si>
  <si>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</si>
  <si>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</si>
  <si>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</si>
  <si>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</si>
  <si>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</si>
  <si>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</si>
  <si>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</si>
  <si>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</si>
  <si>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</si>
  <si>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</si>
  <si>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</si>
  <si>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</si>
  <si>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</si>
  <si>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</si>
  <si>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</si>
  <si>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</si>
  <si>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</si>
  <si>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</si>
  <si>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</si>
  <si>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</si>
  <si>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</si>
  <si>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</si>
  <si>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</si>
  <si>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</si>
  <si>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</si>
  <si>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</si>
  <si>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</si>
  <si>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</si>
  <si>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</si>
  <si>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</si>
  <si>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</si>
  <si>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</si>
  <si>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</si>
  <si>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</si>
  <si>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Hillcroft Park &amp; Ride – Accessibility to Transit</t>
  </si>
  <si>
    <t>I 69</t>
  </si>
  <si>
    <t>Intersection Improvements I 69/Westpark Tollway, along I 69 SB frontage road from the I 69/Westpark Tollway  intersection to the Hillcroft Park &amp; Ride entrance, along I 69 NB frontage road from Westward Street to the I 69/Westpark Tollway  intersection.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</si>
</sst>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9" fontId="0" fillId="0" borderId="0" xfId="0" applyNumberFormat="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H46"/>
  <sheetViews>
    <sheetView tabSelected="1" topLeftCell="A4" zoomScale="115" zoomScaleNormal="115" workbookViewId="0">
      <selection activeCell="D14" sqref="D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200</v>
      </c>
      <c r="D7" s="104"/>
      <c r="E7" s="103" t="s">
        <v>196</v>
      </c>
    </row>
    <row r="8" spans="1:7" x14ac:dyDescent="0.25">
      <c r="A8" s="8" t="s">
        <v>99</v>
      </c>
      <c r="B8" s="138" t="s">
        <v>205</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234</v>
      </c>
    </row>
    <row r="12" spans="1:7" x14ac:dyDescent="0.25">
      <c r="A12" s="8" t="s">
        <v>103</v>
      </c>
      <c r="B12" s="138">
        <v>3</v>
      </c>
    </row>
    <row r="13" spans="1:7" x14ac:dyDescent="0.25">
      <c r="A13" s="8" t="s">
        <v>68</v>
      </c>
      <c r="B13" s="138">
        <v>268</v>
      </c>
      <c r="F13" s="120"/>
    </row>
    <row r="14" spans="1:7" x14ac:dyDescent="0.25">
      <c r="A14" s="8" t="s">
        <v>69</v>
      </c>
      <c r="B14" s="138"/>
    </row>
    <row r="17" spans="1:7" x14ac:dyDescent="0.25">
      <c r="A17" s="119" t="s">
        <v>120</v>
      </c>
      <c r="E17" s="152" t="s">
        <v>231</v>
      </c>
      <c r="F17" s="153"/>
    </row>
    <row r="18" spans="1:7" x14ac:dyDescent="0.25">
      <c r="A18" s="8" t="s">
        <v>79</v>
      </c>
      <c r="B18" s="139">
        <v>2021</v>
      </c>
      <c r="E18" s="105" t="s">
        <v>232</v>
      </c>
      <c r="F18" s="145">
        <f>$B$12/$B$32</f>
        <v>4.4117647058823532E-2</v>
      </c>
    </row>
    <row r="19" spans="1:7" ht="30" x14ac:dyDescent="0.25">
      <c r="A19" s="8" t="s">
        <v>121</v>
      </c>
      <c r="B19" s="140" t="s">
        <v>136</v>
      </c>
      <c r="E19" s="107" t="s">
        <v>212</v>
      </c>
      <c r="F19" s="146">
        <f>$B$12/$B$33</f>
        <v>0.13043478260869565</v>
      </c>
    </row>
    <row r="20" spans="1:7" ht="30" x14ac:dyDescent="0.25">
      <c r="A20" s="135" t="s">
        <v>208</v>
      </c>
      <c r="B20" s="136">
        <f>VLOOKUP(B19,'Delay Reduction Factors'!B4:C80,2, FALSE)</f>
        <v>0.01</v>
      </c>
      <c r="E20" s="107" t="s">
        <v>209</v>
      </c>
      <c r="F20" s="145">
        <f>$F$19-$F$18</f>
        <v>8.6317135549872109E-2</v>
      </c>
    </row>
    <row r="21" spans="1:7" x14ac:dyDescent="0.25">
      <c r="A21" s="8" t="s">
        <v>104</v>
      </c>
      <c r="B21" s="79">
        <v>30</v>
      </c>
      <c r="D21" s="121"/>
      <c r="E21" s="105" t="s">
        <v>210</v>
      </c>
      <c r="F21" s="145">
        <f>$F$20*$B$20</f>
        <v>8.631713554987211E-4</v>
      </c>
      <c r="G21" s="122"/>
    </row>
    <row r="22" spans="1:7" s="113" customFormat="1" x14ac:dyDescent="0.25">
      <c r="D22" s="121"/>
      <c r="E22" s="105" t="s">
        <v>211</v>
      </c>
      <c r="F22" s="145">
        <f>$F$20-$F$21</f>
        <v>8.5453964194373386E-2</v>
      </c>
      <c r="G22" s="122"/>
    </row>
    <row r="23" spans="1:7" x14ac:dyDescent="0.25">
      <c r="E23" s="105" t="s">
        <v>213</v>
      </c>
      <c r="F23" s="145">
        <f>$F$18+$F$22</f>
        <v>0.12957161125319691</v>
      </c>
    </row>
    <row r="24" spans="1:7" x14ac:dyDescent="0.25">
      <c r="A24" s="119" t="s">
        <v>94</v>
      </c>
      <c r="B24" s="123"/>
      <c r="D24" s="121"/>
      <c r="G24" s="124"/>
    </row>
    <row r="25" spans="1:7" x14ac:dyDescent="0.25">
      <c r="A25" s="8" t="s">
        <v>218</v>
      </c>
      <c r="B25" s="141">
        <v>245868</v>
      </c>
      <c r="D25" s="121"/>
      <c r="G25" s="124"/>
    </row>
    <row r="28" spans="1:7" x14ac:dyDescent="0.25">
      <c r="A28" s="105" t="s">
        <v>227</v>
      </c>
      <c r="B28" s="134">
        <f>IF(FacilityType='Delay Reduction Factors'!N5,'Inputs &amp; Outputs'!B25*45%, B25*43%)</f>
        <v>110640.6</v>
      </c>
      <c r="D28" s="121"/>
      <c r="E28" s="125" t="s">
        <v>95</v>
      </c>
      <c r="F28" s="126" t="s">
        <v>20</v>
      </c>
      <c r="G28" s="127" t="s">
        <v>19</v>
      </c>
    </row>
    <row r="29" spans="1:7" x14ac:dyDescent="0.25">
      <c r="A29" s="105" t="s">
        <v>228</v>
      </c>
      <c r="B29" s="115">
        <f>VLOOKUP(Year_Open_to_Traffic?,Calculations!H4:I36,2)</f>
        <v>116134.34719620772</v>
      </c>
      <c r="D29" s="121"/>
      <c r="E29" s="107" t="s">
        <v>122</v>
      </c>
      <c r="F29" s="101">
        <f>$B$29*$F$23</f>
        <v>15047.714488050824</v>
      </c>
      <c r="G29" s="102">
        <f>$B$29*$F$19</f>
        <v>15147.958329940137</v>
      </c>
    </row>
    <row r="30" spans="1:7" x14ac:dyDescent="0.25">
      <c r="A30" s="124"/>
      <c r="B30" s="100"/>
      <c r="D30" s="121"/>
    </row>
    <row r="32" spans="1:7" x14ac:dyDescent="0.25">
      <c r="A32" s="128" t="s">
        <v>221</v>
      </c>
      <c r="B32" s="142">
        <v>68</v>
      </c>
      <c r="D32" s="121"/>
    </row>
    <row r="33" spans="1:8" ht="30" x14ac:dyDescent="0.25">
      <c r="A33" s="129" t="s">
        <v>222</v>
      </c>
      <c r="B33" s="143">
        <v>23</v>
      </c>
      <c r="D33" s="121"/>
      <c r="E33" s="121"/>
      <c r="F33" s="130"/>
      <c r="G33" s="117"/>
    </row>
    <row r="34" spans="1:8" x14ac:dyDescent="0.25">
      <c r="A34" s="131"/>
      <c r="B34" s="144"/>
      <c r="E34" s="117"/>
      <c r="F34" s="130"/>
      <c r="G34" s="130"/>
    </row>
    <row r="35" spans="1:8" x14ac:dyDescent="0.25">
      <c r="A35" s="105" t="s">
        <v>223</v>
      </c>
      <c r="B35" s="148">
        <f>$B$28</f>
        <v>110640.6</v>
      </c>
    </row>
    <row r="36" spans="1:8" x14ac:dyDescent="0.25">
      <c r="A36" s="128" t="s">
        <v>224</v>
      </c>
      <c r="B36" s="142">
        <v>155554</v>
      </c>
      <c r="H36" s="149"/>
    </row>
    <row r="37" spans="1:8" x14ac:dyDescent="0.25">
      <c r="A37" s="128" t="s">
        <v>229</v>
      </c>
      <c r="B37" s="142">
        <v>123886</v>
      </c>
    </row>
    <row r="38" spans="1:8" x14ac:dyDescent="0.25">
      <c r="A38" s="128" t="s">
        <v>225</v>
      </c>
      <c r="B38" s="142">
        <v>155554</v>
      </c>
    </row>
    <row r="39" spans="1:8" x14ac:dyDescent="0.25">
      <c r="A39" s="128" t="s">
        <v>230</v>
      </c>
      <c r="B39" s="142">
        <v>139662</v>
      </c>
    </row>
    <row r="40" spans="1:8" x14ac:dyDescent="0.25">
      <c r="A40" s="128" t="s">
        <v>226</v>
      </c>
      <c r="B40" s="142">
        <v>155554</v>
      </c>
      <c r="G40" s="132"/>
    </row>
    <row r="41" spans="1:8" x14ac:dyDescent="0.25">
      <c r="C41" s="117"/>
    </row>
    <row r="42" spans="1:8" ht="18.75" x14ac:dyDescent="0.3">
      <c r="A42" s="116" t="s">
        <v>78</v>
      </c>
      <c r="B42" s="112"/>
      <c r="C42" s="117"/>
    </row>
    <row r="43" spans="1:8" x14ac:dyDescent="0.25">
      <c r="C43" s="118"/>
      <c r="D43" s="118"/>
      <c r="E43" s="118"/>
      <c r="F43" s="118"/>
      <c r="G43" s="118"/>
    </row>
    <row r="44" spans="1:8" hidden="1" x14ac:dyDescent="0.25">
      <c r="A44" s="133" t="s">
        <v>76</v>
      </c>
    </row>
    <row r="45" spans="1:8" x14ac:dyDescent="0.25">
      <c r="A45" s="133" t="s">
        <v>76</v>
      </c>
    </row>
    <row r="46" spans="1:8" x14ac:dyDescent="0.25">
      <c r="A46" s="106" t="s">
        <v>88</v>
      </c>
      <c r="B46" s="114">
        <f>Calculations!$T$37</f>
        <v>10492.790433011691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B1"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3912405.7668932141</v>
      </c>
      <c r="F4" s="22">
        <f>'Inputs &amp; Outputs'!G29*Annual_Days_of_Travel</f>
        <v>3938469.1657844353</v>
      </c>
      <c r="H4" s="59">
        <v>2018</v>
      </c>
      <c r="I4" s="60">
        <f>'Inputs &amp; Outputs'!B28</f>
        <v>110640.6</v>
      </c>
      <c r="J4" s="60">
        <f>IF(H4=Year_Open_to_Traffic?,$F$4,0)</f>
        <v>0</v>
      </c>
      <c r="K4" s="60">
        <f>IF(H4=Year_Open_to_Traffic?,Calculations!$E$4,0)</f>
        <v>0</v>
      </c>
      <c r="L4" s="60">
        <f>IF(AND(H4&gt;=Year_Open_to_Traffic?, Calculations!H4&lt;Year_Open_to_Traffic?+'Inputs &amp; Outputs'!B$21), 1, 0)</f>
        <v>0</v>
      </c>
      <c r="M4" s="81" t="s">
        <v>75</v>
      </c>
      <c r="N4" s="82">
        <f>MIN(E8,1)</f>
        <v>0.71126811268112689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1.6284698910595363E-2</v>
      </c>
      <c r="F5" s="28"/>
      <c r="H5" s="15">
        <f t="shared" ref="H5:H36" si="3">H4+1</f>
        <v>2019</v>
      </c>
      <c r="I5" s="97">
        <f>(I4*M5)+I4</f>
        <v>112442.34885828762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1.6284698910595363E-2</v>
      </c>
      <c r="N5" s="87">
        <f t="shared" ref="N5:N11" si="6">N4*(1+IFERROR(_2018_2025_V_C_Growth,_2018_2045_V_C_Growth))</f>
        <v>0.72285089974084649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6.0111664787076968E-3</v>
      </c>
      <c r="F6" s="28"/>
      <c r="H6" s="59">
        <f t="shared" si="3"/>
        <v>2020</v>
      </c>
      <c r="I6" s="97">
        <f t="shared" ref="I6:I36" si="10">(I5*M6)+I5</f>
        <v>114273.43865424495</v>
      </c>
      <c r="J6" s="60">
        <f t="shared" si="4"/>
        <v>0</v>
      </c>
      <c r="K6" s="60">
        <f>IF(H6=Year_Open_to_Traffic?,Calculations!$E$4,K5+(K5*M6))</f>
        <v>0</v>
      </c>
      <c r="L6" s="60">
        <f>IF(AND(H6&gt;=Year_Open_to_Traffic?, Calculations!H6&lt;Year_Open_to_Traffic?+'Inputs &amp; Outputs'!B$21), 1, 0)</f>
        <v>0</v>
      </c>
      <c r="M6" s="81">
        <f t="shared" si="5"/>
        <v>1.6284698910595363E-2</v>
      </c>
      <c r="N6" s="87">
        <f t="shared" si="6"/>
        <v>0.73462230900037917</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8.664660043081085E-3</v>
      </c>
      <c r="F7" s="28"/>
      <c r="H7" s="15">
        <f t="shared" si="3"/>
        <v>2021</v>
      </c>
      <c r="I7" s="97">
        <f t="shared" si="10"/>
        <v>116134.34719620772</v>
      </c>
      <c r="J7" s="60">
        <f t="shared" si="4"/>
        <v>3938469.1657844353</v>
      </c>
      <c r="K7" s="60">
        <f>IF(H7=Year_Open_to_Traffic?,Calculations!$E$4,K6+(K6*M7))</f>
        <v>3912405.7668932141</v>
      </c>
      <c r="L7" s="60">
        <f>IF(AND(H7&gt;=Year_Open_to_Traffic?, Calculations!H7&lt;Year_Open_to_Traffic?+'Inputs &amp; Outputs'!B$21), 1, 0)</f>
        <v>1</v>
      </c>
      <c r="M7" s="81">
        <f t="shared" si="5"/>
        <v>1.6284698910595363E-2</v>
      </c>
      <c r="N7" s="87">
        <f t="shared" si="6"/>
        <v>0.7465854121154567</v>
      </c>
      <c r="O7" s="88">
        <f t="shared" si="7"/>
        <v>1</v>
      </c>
      <c r="P7" s="84">
        <f t="shared" si="8"/>
        <v>26063.398891221266</v>
      </c>
      <c r="Q7" s="85">
        <f t="shared" si="0"/>
        <v>1</v>
      </c>
      <c r="R7" s="86">
        <f t="shared" si="1"/>
        <v>18.980213686084522</v>
      </c>
      <c r="S7" s="94">
        <f t="shared" si="2"/>
        <v>687.61754367404285</v>
      </c>
      <c r="T7" s="80">
        <f t="shared" si="9"/>
        <v>561.30074101402386</v>
      </c>
    </row>
    <row r="8" spans="1:24" x14ac:dyDescent="0.25">
      <c r="A8" s="18" t="s">
        <v>27</v>
      </c>
      <c r="B8" s="18">
        <v>260</v>
      </c>
      <c r="D8" s="18" t="s">
        <v>66</v>
      </c>
      <c r="E8" s="23">
        <f>_2018_PeakVolume/_2018_Capacity</f>
        <v>0.71126811268112689</v>
      </c>
      <c r="F8" s="28"/>
      <c r="H8" s="59">
        <f t="shared" si="3"/>
        <v>2022</v>
      </c>
      <c r="I8" s="97">
        <f t="shared" si="10"/>
        <v>118025.5600734765</v>
      </c>
      <c r="J8" s="60">
        <f t="shared" si="4"/>
        <v>4002605.9503178988</v>
      </c>
      <c r="K8" s="60">
        <f>IF(H8=Year_Open_to_Traffic?,Calculations!$E$4,K7+(K7*M8))</f>
        <v>3976118.1168231471</v>
      </c>
      <c r="L8" s="60">
        <f>IF(AND(H8&gt;=Year_Open_to_Traffic?, Calculations!H8&lt;Year_Open_to_Traffic?+'Inputs &amp; Outputs'!B$21), 1, 0)</f>
        <v>1</v>
      </c>
      <c r="M8" s="81">
        <f t="shared" si="5"/>
        <v>1.6284698910595363E-2</v>
      </c>
      <c r="N8" s="87">
        <f t="shared" si="6"/>
        <v>0.75874333076279965</v>
      </c>
      <c r="O8" s="88">
        <f t="shared" si="7"/>
        <v>1</v>
      </c>
      <c r="P8" s="84">
        <f>(J8-K8)*L8</f>
        <v>26487.833494751714</v>
      </c>
      <c r="Q8" s="85">
        <f>IF(AND(H8&gt;=Year_Open_to_Traffic?,H8&lt;Year_Open_to_Traffic?+Years_to_include_in_BCA_Analysis),1,0)</f>
        <v>1</v>
      </c>
      <c r="R8" s="86">
        <f t="shared" si="1"/>
        <v>19.416758600864465</v>
      </c>
      <c r="S8" s="94">
        <f t="shared" si="2"/>
        <v>714.88793767020582</v>
      </c>
      <c r="T8" s="80">
        <f t="shared" si="9"/>
        <v>545.3845847991297</v>
      </c>
      <c r="W8" s="73"/>
      <c r="X8" s="73"/>
    </row>
    <row r="9" spans="1:24" x14ac:dyDescent="0.25">
      <c r="A9" s="18" t="s">
        <v>64</v>
      </c>
      <c r="B9" s="18">
        <f>'Inputs &amp; Outputs'!B21</f>
        <v>30</v>
      </c>
      <c r="D9" s="18" t="s">
        <v>65</v>
      </c>
      <c r="E9" s="23">
        <f>_2025_PeakVolume/_2025_Capacity</f>
        <v>0.79641796417964184</v>
      </c>
      <c r="F9" s="28"/>
      <c r="H9" s="15">
        <f t="shared" si="3"/>
        <v>2023</v>
      </c>
      <c r="I9" s="97">
        <f t="shared" si="10"/>
        <v>119947.57078302745</v>
      </c>
      <c r="J9" s="60">
        <f t="shared" si="4"/>
        <v>4067787.1830765833</v>
      </c>
      <c r="K9" s="60">
        <f>IF(H9=Year_Open_to_Traffic?,Calculations!$E$4,K8+(K8*M9))</f>
        <v>4040868.0031885756</v>
      </c>
      <c r="L9" s="60">
        <f>IF(AND(H9&gt;=Year_Open_to_Traffic?, Calculations!H9&lt;Year_Open_to_Traffic?+'Inputs &amp; Outputs'!B$21), 1, 0)</f>
        <v>1</v>
      </c>
      <c r="M9" s="81">
        <f t="shared" si="5"/>
        <v>1.6284698910595363E-2</v>
      </c>
      <c r="N9" s="87">
        <f t="shared" si="6"/>
        <v>0.77109923745469411</v>
      </c>
      <c r="O9" s="88">
        <f t="shared" si="7"/>
        <v>1</v>
      </c>
      <c r="P9" s="84">
        <f t="shared" si="8"/>
        <v>26919.179888007697</v>
      </c>
      <c r="Q9" s="85">
        <f t="shared" si="0"/>
        <v>1</v>
      </c>
      <c r="R9" s="86">
        <f t="shared" si="1"/>
        <v>19.863344048684343</v>
      </c>
      <c r="S9" s="94">
        <f t="shared" si="2"/>
        <v>743.23985495725003</v>
      </c>
      <c r="T9" s="80">
        <f t="shared" si="9"/>
        <v>529.91974462596545</v>
      </c>
      <c r="W9" s="73"/>
    </row>
    <row r="10" spans="1:24" x14ac:dyDescent="0.25">
      <c r="D10" s="18" t="s">
        <v>82</v>
      </c>
      <c r="E10" s="23">
        <f>_2045_PeakVolume/_2045_Capacity</f>
        <v>0.89783612121835499</v>
      </c>
      <c r="F10" s="28"/>
      <c r="H10" s="59">
        <f t="shared" si="3"/>
        <v>2024</v>
      </c>
      <c r="I10" s="97">
        <f t="shared" si="10"/>
        <v>121900.88085828637</v>
      </c>
      <c r="J10" s="60">
        <f t="shared" si="4"/>
        <v>4134029.8725853642</v>
      </c>
      <c r="K10" s="60">
        <f>IF(H10=Year_Open_to_Traffic?,Calculations!$E$4,K9+(K9*M10))</f>
        <v>4106672.3219579603</v>
      </c>
      <c r="L10" s="60">
        <f>IF(AND(H10&gt;=Year_Open_to_Traffic?, Calculations!H10&lt;Year_Open_to_Traffic?+'Inputs &amp; Outputs'!B$21), 1, 0)</f>
        <v>1</v>
      </c>
      <c r="M10" s="81">
        <f t="shared" si="5"/>
        <v>1.6284698910595363E-2</v>
      </c>
      <c r="N10" s="87">
        <f t="shared" si="6"/>
        <v>0.78365635636683351</v>
      </c>
      <c r="O10" s="88">
        <f t="shared" si="7"/>
        <v>1</v>
      </c>
      <c r="P10" s="84">
        <f>(J10-K10)*L10</f>
        <v>27357.550627403893</v>
      </c>
      <c r="Q10" s="85">
        <f t="shared" si="0"/>
        <v>1</v>
      </c>
      <c r="R10" s="86">
        <f t="shared" si="1"/>
        <v>20.320200961804083</v>
      </c>
      <c r="S10" s="94">
        <f t="shared" si="2"/>
        <v>772.71618793449136</v>
      </c>
      <c r="T10" s="80">
        <f t="shared" si="9"/>
        <v>514.89342304728723</v>
      </c>
      <c r="W10" s="73"/>
    </row>
    <row r="11" spans="1:24" ht="30" customHeight="1" x14ac:dyDescent="0.25">
      <c r="A11" s="154" t="s">
        <v>219</v>
      </c>
      <c r="B11" s="155"/>
      <c r="D11" s="18" t="s">
        <v>70</v>
      </c>
      <c r="E11" s="46">
        <f>(E9/E8)^(1/(2025-2018))-1</f>
        <v>1.6284698910595363E-2</v>
      </c>
      <c r="F11" s="28"/>
      <c r="H11" s="15">
        <f t="shared" si="3"/>
        <v>2025</v>
      </c>
      <c r="I11" s="97">
        <f t="shared" si="10"/>
        <v>123885.99999999993</v>
      </c>
      <c r="J11" s="60">
        <f t="shared" si="4"/>
        <v>4201351.3043478234</v>
      </c>
      <c r="K11" s="60">
        <f>IF(H11=Year_Open_to_Traffic?,Calculations!$E$4,K10+(K10*M11))</f>
        <v>4173548.2442455213</v>
      </c>
      <c r="L11" s="60">
        <f>IF(AND(H11&gt;=Year_Open_to_Traffic?, Calculations!H11&lt;Year_Open_to_Traffic?+'Inputs &amp; Outputs'!B$21), 1, 0)</f>
        <v>1</v>
      </c>
      <c r="M11" s="81">
        <f t="shared" si="5"/>
        <v>1.6284698910595363E-2</v>
      </c>
      <c r="N11" s="87">
        <f t="shared" si="6"/>
        <v>0.79641796417964161</v>
      </c>
      <c r="O11" s="88">
        <f t="shared" si="7"/>
        <v>1</v>
      </c>
      <c r="P11" s="84">
        <f t="shared" si="8"/>
        <v>27803.060102302115</v>
      </c>
      <c r="Q11" s="85">
        <f t="shared" si="0"/>
        <v>1</v>
      </c>
      <c r="R11" s="86">
        <f t="shared" si="1"/>
        <v>20.787565583925574</v>
      </c>
      <c r="S11" s="94">
        <f t="shared" si="2"/>
        <v>803.36153008149722</v>
      </c>
      <c r="T11" s="80">
        <f t="shared" si="9"/>
        <v>500.29318549826257</v>
      </c>
      <c r="W11" s="73"/>
    </row>
    <row r="12" spans="1:24" x14ac:dyDescent="0.25">
      <c r="A12" s="18" t="s">
        <v>205</v>
      </c>
      <c r="B12" s="19">
        <v>0.45</v>
      </c>
      <c r="D12" s="18" t="s">
        <v>83</v>
      </c>
      <c r="E12" s="46">
        <f>(E10/E9)^(1/(2045-2025))-1</f>
        <v>6.0111664787074748E-3</v>
      </c>
      <c r="F12" s="28"/>
      <c r="H12" s="59">
        <v>2026</v>
      </c>
      <c r="I12" s="97">
        <f t="shared" si="10"/>
        <v>124630.6993703811</v>
      </c>
      <c r="J12" s="60">
        <f t="shared" si="4"/>
        <v>4226606.3264737939</v>
      </c>
      <c r="K12" s="60">
        <f>IF(H12=Year_Open_to_Traffic?,Calculations!$E$4,K11+(K11*M12))</f>
        <v>4198636.1375485994</v>
      </c>
      <c r="L12" s="60">
        <f>IF(AND(H12&gt;=Year_Open_to_Traffic?, Calculations!H12&lt;Year_Open_to_Traffic?+'Inputs &amp; Outputs'!B$21), 1, 0)</f>
        <v>1</v>
      </c>
      <c r="M12" s="81">
        <f t="shared" ref="M12:M36" si="11">IFERROR(_2025_2045_Demand_Growth,_2018_2045_Demand_Growth)</f>
        <v>6.0111664787076968E-3</v>
      </c>
      <c r="N12" s="87">
        <f t="shared" ref="N12:N36" si="12">N11*(1+IFERROR(_2025_2045_V_C_Growth,_2018_2045_V_C_Growth))</f>
        <v>0.80120536514895868</v>
      </c>
      <c r="O12" s="88">
        <f t="shared" si="7"/>
        <v>1</v>
      </c>
      <c r="P12" s="84">
        <f t="shared" si="8"/>
        <v>27970.188925194554</v>
      </c>
      <c r="Q12" s="85">
        <f t="shared" si="0"/>
        <v>1</v>
      </c>
      <c r="R12" s="86">
        <f t="shared" si="1"/>
        <v>21.265679592355859</v>
      </c>
      <c r="S12" s="94">
        <f t="shared" si="2"/>
        <v>826.77905539097821</v>
      </c>
      <c r="T12" s="80">
        <f t="shared" si="9"/>
        <v>481.19293770123153</v>
      </c>
      <c r="W12" s="73"/>
    </row>
    <row r="13" spans="1:24" x14ac:dyDescent="0.25">
      <c r="A13" s="18" t="s">
        <v>206</v>
      </c>
      <c r="B13" s="19">
        <v>0.43</v>
      </c>
      <c r="D13" s="18" t="s">
        <v>84</v>
      </c>
      <c r="E13" s="46">
        <f>(E10/E8)^(1/(2045-2018))-1</f>
        <v>8.664660043081085E-3</v>
      </c>
      <c r="F13" s="28"/>
      <c r="H13" s="15">
        <f t="shared" si="3"/>
        <v>2027</v>
      </c>
      <c r="I13" s="97">
        <f t="shared" si="10"/>
        <v>125379.87525265424</v>
      </c>
      <c r="J13" s="60">
        <f t="shared" si="4"/>
        <v>4252013.1607421869</v>
      </c>
      <c r="K13" s="60">
        <f>IF(H13=Year_Open_to_Traffic?,Calculations!$E$4,K12+(K12*M13))</f>
        <v>4223874.8383549219</v>
      </c>
      <c r="L13" s="60">
        <f>IF(AND(H13&gt;=Year_Open_to_Traffic?, Calculations!H13&lt;Year_Open_to_Traffic?+'Inputs &amp; Outputs'!B$21), 1, 0)</f>
        <v>1</v>
      </c>
      <c r="M13" s="81">
        <f t="shared" si="11"/>
        <v>6.0111664787076968E-3</v>
      </c>
      <c r="N13" s="87">
        <f t="shared" si="12"/>
        <v>0.8060215439825027</v>
      </c>
      <c r="O13" s="88">
        <f t="shared" si="7"/>
        <v>1</v>
      </c>
      <c r="P13" s="84">
        <f t="shared" si="8"/>
        <v>28138.322387265041</v>
      </c>
      <c r="Q13" s="85">
        <f t="shared" si="0"/>
        <v>1</v>
      </c>
      <c r="R13" s="86">
        <f t="shared" si="1"/>
        <v>21.754790222980041</v>
      </c>
      <c r="S13" s="94">
        <f t="shared" si="2"/>
        <v>850.87918805853212</v>
      </c>
      <c r="T13" s="80">
        <f t="shared" si="9"/>
        <v>462.82190124763849</v>
      </c>
      <c r="W13" s="73"/>
    </row>
    <row r="14" spans="1:24" x14ac:dyDescent="0.25">
      <c r="H14" s="59">
        <f>H13+1</f>
        <v>2028</v>
      </c>
      <c r="I14" s="97">
        <f t="shared" si="10"/>
        <v>126133.55455587755</v>
      </c>
      <c r="J14" s="60">
        <f t="shared" si="4"/>
        <v>4277572.719721064</v>
      </c>
      <c r="K14" s="60">
        <f>IF(H14=Year_Open_to_Traffic?,Calculations!$E$4,K13+(K13*M14))</f>
        <v>4249265.2531934977</v>
      </c>
      <c r="L14" s="60">
        <f>IF(AND(H14&gt;=Year_Open_to_Traffic?, Calculations!H14&lt;Year_Open_to_Traffic?+'Inputs &amp; Outputs'!B$21), 1, 0)</f>
        <v>1</v>
      </c>
      <c r="M14" s="81">
        <f t="shared" si="11"/>
        <v>6.0111664787076968E-3</v>
      </c>
      <c r="N14" s="87">
        <f t="shared" si="12"/>
        <v>0.81086667366880638</v>
      </c>
      <c r="O14" s="88">
        <f t="shared" si="7"/>
        <v>1</v>
      </c>
      <c r="P14" s="84">
        <f t="shared" si="8"/>
        <v>28307.466527566314</v>
      </c>
      <c r="Q14" s="85">
        <f t="shared" si="0"/>
        <v>1</v>
      </c>
      <c r="R14" s="86">
        <f t="shared" si="1"/>
        <v>22.255150398108579</v>
      </c>
      <c r="S14" s="94">
        <f t="shared" si="2"/>
        <v>875.68182569497355</v>
      </c>
      <c r="T14" s="80">
        <f t="shared" si="9"/>
        <v>445.15223622727711</v>
      </c>
      <c r="W14" s="73"/>
    </row>
    <row r="15" spans="1:24" x14ac:dyDescent="0.25">
      <c r="H15" s="15">
        <f t="shared" si="3"/>
        <v>2029</v>
      </c>
      <c r="I15" s="97">
        <f t="shared" si="10"/>
        <v>126891.76435086409</v>
      </c>
      <c r="J15" s="60">
        <f t="shared" si="4"/>
        <v>4303285.9214640856</v>
      </c>
      <c r="K15" s="60">
        <f>IF(H15=Year_Open_to_Traffic?,Calculations!$E$4,K14+(K14*M15))</f>
        <v>4274808.294042632</v>
      </c>
      <c r="L15" s="60">
        <f>IF(AND(H15&gt;=Year_Open_to_Traffic?, Calculations!H15&lt;Year_Open_to_Traffic?+'Inputs &amp; Outputs'!B$21), 1, 0)</f>
        <v>1</v>
      </c>
      <c r="M15" s="81">
        <f t="shared" si="11"/>
        <v>6.0111664787076968E-3</v>
      </c>
      <c r="N15" s="87">
        <f t="shared" si="12"/>
        <v>0.81574092823626532</v>
      </c>
      <c r="O15" s="88">
        <f t="shared" si="7"/>
        <v>1</v>
      </c>
      <c r="P15" s="84">
        <f t="shared" si="8"/>
        <v>28477.627421453595</v>
      </c>
      <c r="Q15" s="85">
        <f t="shared" si="0"/>
        <v>1</v>
      </c>
      <c r="R15" s="86">
        <f t="shared" si="1"/>
        <v>22.767018857265079</v>
      </c>
      <c r="S15" s="94">
        <f t="shared" si="2"/>
        <v>901.20744591502023</v>
      </c>
      <c r="T15" s="80">
        <f t="shared" si="9"/>
        <v>428.15716560508173</v>
      </c>
      <c r="W15" s="73"/>
    </row>
    <row r="16" spans="1:24" x14ac:dyDescent="0.25">
      <c r="H16" s="59">
        <f t="shared" si="3"/>
        <v>2030</v>
      </c>
      <c r="I16" s="97">
        <f t="shared" si="10"/>
        <v>127654.53187115407</v>
      </c>
      <c r="J16" s="60">
        <f t="shared" si="4"/>
        <v>4329153.6895434856</v>
      </c>
      <c r="K16" s="60">
        <f>IF(H16=Year_Open_to_Traffic?,Calculations!$E$4,K15+(K15*M16))</f>
        <v>4300504.8783626826</v>
      </c>
      <c r="L16" s="60">
        <f>IF(AND(H16&gt;=Year_Open_to_Traffic?, Calculations!H16&lt;Year_Open_to_Traffic?+'Inputs &amp; Outputs'!B$21), 1, 0)</f>
        <v>1</v>
      </c>
      <c r="M16" s="81">
        <f t="shared" si="11"/>
        <v>6.0111664787076968E-3</v>
      </c>
      <c r="N16" s="87">
        <f t="shared" si="12"/>
        <v>0.82064448275938884</v>
      </c>
      <c r="O16" s="88">
        <f t="shared" si="7"/>
        <v>1</v>
      </c>
      <c r="P16" s="84">
        <f t="shared" si="8"/>
        <v>28648.811180802993</v>
      </c>
      <c r="Q16" s="85">
        <f t="shared" si="0"/>
        <v>1</v>
      </c>
      <c r="R16" s="86">
        <f t="shared" si="1"/>
        <v>23.290660290982171</v>
      </c>
      <c r="S16" s="94">
        <f t="shared" si="2"/>
        <v>927.47712324407837</v>
      </c>
      <c r="T16" s="80">
        <f t="shared" si="9"/>
        <v>411.81093464256412</v>
      </c>
      <c r="W16" s="73"/>
    </row>
    <row r="17" spans="1:23" x14ac:dyDescent="0.25">
      <c r="A17" s="29"/>
      <c r="H17" s="15">
        <f t="shared" si="3"/>
        <v>2031</v>
      </c>
      <c r="I17" s="97">
        <f t="shared" si="10"/>
        <v>128421.88451399308</v>
      </c>
      <c r="J17" s="60">
        <f t="shared" si="4"/>
        <v>4355176.9530832432</v>
      </c>
      <c r="K17" s="60">
        <f>IF(H17=Year_Open_to_Traffic?,Calculations!$E$4,K16+(K16*M17))</f>
        <v>4326355.9291290157</v>
      </c>
      <c r="L17" s="60">
        <f>IF(AND(H17&gt;=Year_Open_to_Traffic?, Calculations!H17&lt;Year_Open_to_Traffic?+'Inputs &amp; Outputs'!B$21), 1, 0)</f>
        <v>1</v>
      </c>
      <c r="M17" s="81">
        <f t="shared" si="11"/>
        <v>6.0111664787076968E-3</v>
      </c>
      <c r="N17" s="87">
        <f t="shared" si="12"/>
        <v>0.82557751336508833</v>
      </c>
      <c r="O17" s="88">
        <f t="shared" si="7"/>
        <v>1</v>
      </c>
      <c r="P17" s="84">
        <f t="shared" si="8"/>
        <v>28821.023954227567</v>
      </c>
      <c r="Q17" s="85">
        <f t="shared" si="0"/>
        <v>1</v>
      </c>
      <c r="R17" s="86">
        <f t="shared" si="1"/>
        <v>23.82634547767476</v>
      </c>
      <c r="S17" s="94">
        <f t="shared" si="2"/>
        <v>954.51254651773456</v>
      </c>
      <c r="T17" s="80">
        <f t="shared" si="9"/>
        <v>396.0887718684138</v>
      </c>
      <c r="W17" s="73"/>
    </row>
    <row r="18" spans="1:23" x14ac:dyDescent="0.25">
      <c r="H18" s="59">
        <f t="shared" si="3"/>
        <v>2032</v>
      </c>
      <c r="I18" s="97">
        <f t="shared" si="10"/>
        <v>129193.84984131607</v>
      </c>
      <c r="J18" s="60">
        <f t="shared" si="4"/>
        <v>4381356.6467924574</v>
      </c>
      <c r="K18" s="60">
        <f>IF(H18=Year_Open_to_Traffic?,Calculations!$E$4,K17+(K17*M18))</f>
        <v>4352362.3748651547</v>
      </c>
      <c r="L18" s="60">
        <f>IF(AND(H18&gt;=Year_Open_to_Traffic?, Calculations!H18&lt;Year_Open_to_Traffic?+'Inputs &amp; Outputs'!B$21), 1, 0)</f>
        <v>1</v>
      </c>
      <c r="M18" s="81">
        <f t="shared" si="11"/>
        <v>6.0111664787076968E-3</v>
      </c>
      <c r="N18" s="87">
        <f t="shared" si="12"/>
        <v>0.83054019723900319</v>
      </c>
      <c r="O18" s="88">
        <f t="shared" si="7"/>
        <v>1</v>
      </c>
      <c r="P18" s="84">
        <f t="shared" si="8"/>
        <v>28994.271927302703</v>
      </c>
      <c r="Q18" s="85">
        <f t="shared" si="0"/>
        <v>1</v>
      </c>
      <c r="R18" s="86">
        <f t="shared" si="1"/>
        <v>24.374351423661277</v>
      </c>
      <c r="S18" s="94">
        <f t="shared" si="2"/>
        <v>982.33603678868917</v>
      </c>
      <c r="T18" s="80">
        <f t="shared" si="9"/>
        <v>380.9668515392828</v>
      </c>
      <c r="W18" s="73"/>
    </row>
    <row r="19" spans="1:23" x14ac:dyDescent="0.25">
      <c r="H19" s="15">
        <f t="shared" si="3"/>
        <v>2033</v>
      </c>
      <c r="I19" s="97">
        <f t="shared" si="10"/>
        <v>129970.45558073738</v>
      </c>
      <c r="J19" s="60">
        <f t="shared" si="4"/>
        <v>4407693.7109989198</v>
      </c>
      <c r="K19" s="60">
        <f>IF(H19=Year_Open_to_Traffic?,Calculations!$E$4,K18+(K18*M19))</f>
        <v>4378525.1496761329</v>
      </c>
      <c r="L19" s="60">
        <f>IF(AND(H19&gt;=Year_Open_to_Traffic?, Calculations!H19&lt;Year_Open_to_Traffic?+'Inputs &amp; Outputs'!B$21), 1, 0)</f>
        <v>1</v>
      </c>
      <c r="M19" s="81">
        <f t="shared" si="11"/>
        <v>6.0111664787076968E-3</v>
      </c>
      <c r="N19" s="87">
        <f t="shared" si="12"/>
        <v>0.83553271263186535</v>
      </c>
      <c r="O19" s="88">
        <f t="shared" si="7"/>
        <v>1</v>
      </c>
      <c r="P19" s="84">
        <f t="shared" si="8"/>
        <v>29168.561322786845</v>
      </c>
      <c r="Q19" s="85">
        <f t="shared" si="0"/>
        <v>1</v>
      </c>
      <c r="R19" s="86">
        <f t="shared" si="1"/>
        <v>24.934961506405479</v>
      </c>
      <c r="S19" s="94">
        <f t="shared" si="2"/>
        <v>1010.9705657554755</v>
      </c>
      <c r="T19" s="80">
        <f t="shared" si="9"/>
        <v>366.42225753365653</v>
      </c>
      <c r="W19" s="73"/>
    </row>
    <row r="20" spans="1:23" x14ac:dyDescent="0.25">
      <c r="H20" s="59">
        <f t="shared" si="3"/>
        <v>2034</v>
      </c>
      <c r="I20" s="97">
        <f t="shared" si="10"/>
        <v>130751.72962654669</v>
      </c>
      <c r="J20" s="60">
        <f t="shared" si="4"/>
        <v>4434189.0916828876</v>
      </c>
      <c r="K20" s="60">
        <f>IF(H20=Year_Open_to_Traffic?,Calculations!$E$4,K19+(K19*M20))</f>
        <v>4404845.1932820445</v>
      </c>
      <c r="L20" s="60">
        <f>IF(AND(H20&gt;=Year_Open_to_Traffic?, Calculations!H20&lt;Year_Open_to_Traffic?+'Inputs &amp; Outputs'!B$21), 1, 0)</f>
        <v>1</v>
      </c>
      <c r="M20" s="81">
        <f t="shared" si="11"/>
        <v>6.0111664787076968E-3</v>
      </c>
      <c r="N20" s="87">
        <f t="shared" si="12"/>
        <v>0.84055523886590156</v>
      </c>
      <c r="O20" s="88">
        <f t="shared" si="7"/>
        <v>1</v>
      </c>
      <c r="P20" s="84">
        <f t="shared" si="8"/>
        <v>29343.898400843143</v>
      </c>
      <c r="Q20" s="85">
        <f t="shared" si="0"/>
        <v>1</v>
      </c>
      <c r="R20" s="86">
        <f t="shared" si="1"/>
        <v>25.508465621052807</v>
      </c>
      <c r="S20" s="94">
        <f t="shared" si="2"/>
        <v>1040.4397747283474</v>
      </c>
      <c r="T20" s="80">
        <f t="shared" si="9"/>
        <v>352.43294862418963</v>
      </c>
      <c r="W20" s="73"/>
    </row>
    <row r="21" spans="1:23" x14ac:dyDescent="0.25">
      <c r="H21" s="15">
        <f t="shared" si="3"/>
        <v>2035</v>
      </c>
      <c r="I21" s="97">
        <f t="shared" si="10"/>
        <v>131537.70004071083</v>
      </c>
      <c r="J21" s="60">
        <f t="shared" si="4"/>
        <v>4460843.7405110635</v>
      </c>
      <c r="K21" s="60">
        <f>IF(H21=Year_Open_to_Traffic?,Calculations!$E$4,K20+(K20*M21))</f>
        <v>4431323.4510517986</v>
      </c>
      <c r="L21" s="60">
        <f>IF(AND(H21&gt;=Year_Open_to_Traffic?, Calculations!H21&lt;Year_Open_to_Traffic?+'Inputs &amp; Outputs'!B$21), 1, 0)</f>
        <v>1</v>
      </c>
      <c r="M21" s="81">
        <f t="shared" si="11"/>
        <v>6.0111664787076968E-3</v>
      </c>
      <c r="N21" s="87">
        <f t="shared" si="12"/>
        <v>0.84560795634127417</v>
      </c>
      <c r="O21" s="88">
        <f t="shared" si="7"/>
        <v>1</v>
      </c>
      <c r="P21" s="84">
        <f t="shared" si="8"/>
        <v>29520.289459264837</v>
      </c>
      <c r="Q21" s="85">
        <f t="shared" si="0"/>
        <v>1</v>
      </c>
      <c r="R21" s="86">
        <f t="shared" si="1"/>
        <v>26.095160330337016</v>
      </c>
      <c r="S21" s="94">
        <f t="shared" si="2"/>
        <v>1070.7679941480885</v>
      </c>
      <c r="T21" s="80">
        <f t="shared" si="9"/>
        <v>338.97772507590901</v>
      </c>
      <c r="W21" s="73"/>
    </row>
    <row r="22" spans="1:23" x14ac:dyDescent="0.25">
      <c r="H22" s="59">
        <f>H21+1</f>
        <v>2036</v>
      </c>
      <c r="I22" s="97">
        <f t="shared" si="10"/>
        <v>132328.39505388186</v>
      </c>
      <c r="J22" s="60">
        <f t="shared" si="4"/>
        <v>4487658.6148707764</v>
      </c>
      <c r="K22" s="60">
        <f>IF(H22=Year_Open_to_Traffic?,Calculations!$E$4,K21+(K21*M22))</f>
        <v>4457960.8740370721</v>
      </c>
      <c r="L22" s="60">
        <f>IF(AND(H22&gt;=Year_Open_to_Traffic?, Calculations!H22&lt;Year_Open_to_Traffic?+'Inputs &amp; Outputs'!B$21), 1, 0)</f>
        <v>1</v>
      </c>
      <c r="M22" s="81">
        <f t="shared" si="11"/>
        <v>6.0111664787076968E-3</v>
      </c>
      <c r="N22" s="87">
        <f t="shared" si="12"/>
        <v>0.85069104654256122</v>
      </c>
      <c r="O22" s="88">
        <f t="shared" si="7"/>
        <v>1</v>
      </c>
      <c r="P22" s="84">
        <f t="shared" si="8"/>
        <v>29697.74083370436</v>
      </c>
      <c r="Q22" s="85">
        <f t="shared" si="0"/>
        <v>1</v>
      </c>
      <c r="R22" s="86">
        <f t="shared" si="1"/>
        <v>26.695349017934767</v>
      </c>
      <c r="S22" s="94">
        <f t="shared" si="2"/>
        <v>1101.9802636738762</v>
      </c>
      <c r="T22" s="80">
        <f t="shared" si="9"/>
        <v>326.03619651966051</v>
      </c>
      <c r="W22" s="73"/>
    </row>
    <row r="23" spans="1:23" x14ac:dyDescent="0.25">
      <c r="H23" s="15">
        <f t="shared" si="3"/>
        <v>2037</v>
      </c>
      <c r="I23" s="97">
        <f t="shared" si="10"/>
        <v>133123.84306641095</v>
      </c>
      <c r="J23" s="60">
        <f t="shared" si="4"/>
        <v>4514634.6779043712</v>
      </c>
      <c r="K23" s="60">
        <f>IF(H23=Year_Open_to_Traffic?,Calculations!$E$4,K22+(K22*M23))</f>
        <v>4484758.4190064743</v>
      </c>
      <c r="L23" s="60">
        <f>IF(AND(H23&gt;=Year_Open_to_Traffic?, Calculations!H23&lt;Year_Open_to_Traffic?+'Inputs &amp; Outputs'!B$21), 1, 0)</f>
        <v>1</v>
      </c>
      <c r="M23" s="81">
        <f t="shared" si="11"/>
        <v>6.0111664787076968E-3</v>
      </c>
      <c r="N23" s="87">
        <f t="shared" si="12"/>
        <v>0.85580469204527443</v>
      </c>
      <c r="O23" s="88">
        <f t="shared" si="7"/>
        <v>1</v>
      </c>
      <c r="P23" s="84">
        <f t="shared" si="8"/>
        <v>29876.258897896856</v>
      </c>
      <c r="Q23" s="85">
        <f t="shared" si="0"/>
        <v>1</v>
      </c>
      <c r="R23" s="86">
        <f t="shared" si="1"/>
        <v>27.309342045347261</v>
      </c>
      <c r="S23" s="94">
        <f t="shared" si="2"/>
        <v>1134.1023528564408</v>
      </c>
      <c r="T23" s="80">
        <f t="shared" si="9"/>
        <v>313.58875105200531</v>
      </c>
      <c r="W23" s="73"/>
    </row>
    <row r="24" spans="1:23" x14ac:dyDescent="0.25">
      <c r="H24" s="59">
        <f t="shared" si="3"/>
        <v>2038</v>
      </c>
      <c r="I24" s="97">
        <f t="shared" si="10"/>
        <v>133924.07264936849</v>
      </c>
      <c r="J24" s="60">
        <f t="shared" si="4"/>
        <v>4541772.8985438012</v>
      </c>
      <c r="K24" s="60">
        <f>IF(H24=Year_Open_to_Traffic?,Calculations!$E$4,K23+(K23*M24))</f>
        <v>4511717.0484799081</v>
      </c>
      <c r="L24" s="60">
        <f>IF(AND(H24&gt;=Year_Open_to_Traffic?, Calculations!H24&lt;Year_Open_to_Traffic?+'Inputs &amp; Outputs'!B$21), 1, 0)</f>
        <v>1</v>
      </c>
      <c r="M24" s="81">
        <f t="shared" si="11"/>
        <v>6.0111664787076968E-3</v>
      </c>
      <c r="N24" s="87">
        <f t="shared" si="12"/>
        <v>0.86094907652241759</v>
      </c>
      <c r="O24" s="88">
        <f t="shared" si="7"/>
        <v>1</v>
      </c>
      <c r="P24" s="84">
        <f>(J24-K24)*L24</f>
        <v>30055.850063893013</v>
      </c>
      <c r="Q24" s="85">
        <f t="shared" si="0"/>
        <v>1</v>
      </c>
      <c r="R24" s="86">
        <f t="shared" si="1"/>
        <v>27.93745691239025</v>
      </c>
      <c r="S24" s="94">
        <f t="shared" si="2"/>
        <v>1167.160782414129</v>
      </c>
      <c r="T24" s="80">
        <f t="shared" si="9"/>
        <v>301.61652551491397</v>
      </c>
      <c r="W24" s="73"/>
    </row>
    <row r="25" spans="1:23" x14ac:dyDescent="0.25">
      <c r="H25" s="15">
        <f t="shared" si="3"/>
        <v>2039</v>
      </c>
      <c r="I25" s="97">
        <f t="shared" si="10"/>
        <v>134729.11254557039</v>
      </c>
      <c r="J25" s="60">
        <f t="shared" si="4"/>
        <v>4569074.2515454311</v>
      </c>
      <c r="K25" s="60">
        <f>IF(H25=Year_Open_to_Traffic?,Calculations!$E$4,K24+(K24*M25))</f>
        <v>4538837.7307631448</v>
      </c>
      <c r="L25" s="60">
        <f>IF(AND(H25&gt;=Year_Open_to_Traffic?, Calculations!H25&lt;Year_Open_to_Traffic?+'Inputs &amp; Outputs'!B$21), 1, 0)</f>
        <v>1</v>
      </c>
      <c r="M25" s="81">
        <f t="shared" si="11"/>
        <v>6.0111664787076968E-3</v>
      </c>
      <c r="N25" s="87">
        <f t="shared" si="12"/>
        <v>0.86612438475108333</v>
      </c>
      <c r="O25" s="88">
        <f t="shared" si="7"/>
        <v>1</v>
      </c>
      <c r="P25" s="84">
        <f t="shared" si="8"/>
        <v>30236.520782286301</v>
      </c>
      <c r="Q25" s="85">
        <f t="shared" si="0"/>
        <v>1</v>
      </c>
      <c r="R25" s="86">
        <f t="shared" si="1"/>
        <v>28.580018421375218</v>
      </c>
      <c r="S25" s="94">
        <f t="shared" si="2"/>
        <v>1201.1828461288915</v>
      </c>
      <c r="T25" s="80">
        <f t="shared" si="9"/>
        <v>290.10137691004934</v>
      </c>
      <c r="W25" s="73"/>
    </row>
    <row r="26" spans="1:23" x14ac:dyDescent="0.25">
      <c r="H26" s="59">
        <f t="shared" si="3"/>
        <v>2040</v>
      </c>
      <c r="I26" s="97">
        <f t="shared" si="10"/>
        <v>135538.99167061035</v>
      </c>
      <c r="J26" s="60">
        <f t="shared" si="4"/>
        <v>4596539.7175250473</v>
      </c>
      <c r="K26" s="60">
        <f>IF(H26=Year_Open_to_Traffic?,Calculations!$E$4,K25+(K25*M26))</f>
        <v>4566121.4399826024</v>
      </c>
      <c r="L26" s="60">
        <f>IF(AND(H26&gt;=Year_Open_to_Traffic?, Calculations!H26&lt;Year_Open_to_Traffic?+'Inputs &amp; Outputs'!B$21), 1, 0)</f>
        <v>1</v>
      </c>
      <c r="M26" s="81">
        <f t="shared" si="11"/>
        <v>6.0111664787076968E-3</v>
      </c>
      <c r="N26" s="87">
        <f t="shared" si="12"/>
        <v>0.87133080261909013</v>
      </c>
      <c r="O26" s="88">
        <f t="shared" si="7"/>
        <v>1</v>
      </c>
      <c r="P26" s="84">
        <f t="shared" si="8"/>
        <v>30418.277542444877</v>
      </c>
      <c r="Q26" s="85">
        <f t="shared" si="0"/>
        <v>1</v>
      </c>
      <c r="R26" s="86">
        <f t="shared" si="1"/>
        <v>29.237358845066851</v>
      </c>
      <c r="S26" s="94">
        <f t="shared" si="2"/>
        <v>1236.1966333806456</v>
      </c>
      <c r="T26" s="80">
        <f t="shared" si="9"/>
        <v>279.02585490443539</v>
      </c>
      <c r="W26" s="73"/>
    </row>
    <row r="27" spans="1:23" x14ac:dyDescent="0.25">
      <c r="H27" s="15">
        <f t="shared" si="3"/>
        <v>2041</v>
      </c>
      <c r="I27" s="97">
        <f t="shared" si="10"/>
        <v>136353.73911389857</v>
      </c>
      <c r="J27" s="60">
        <f t="shared" si="4"/>
        <v>4624170.282993082</v>
      </c>
      <c r="K27" s="60">
        <f>IF(H27=Year_Open_to_Traffic?,Calculations!$E$4,K26+(K26*M27))</f>
        <v>4593569.1561203348</v>
      </c>
      <c r="L27" s="60">
        <f>IF(AND(H27&gt;=Year_Open_to_Traffic?, Calculations!H27&lt;Year_Open_to_Traffic?+'Inputs &amp; Outputs'!B$21), 1, 0)</f>
        <v>1</v>
      </c>
      <c r="M27" s="81">
        <f t="shared" si="11"/>
        <v>6.0111664787076968E-3</v>
      </c>
      <c r="N27" s="87">
        <f t="shared" si="12"/>
        <v>0.87656851713165929</v>
      </c>
      <c r="O27" s="88">
        <f t="shared" si="7"/>
        <v>1</v>
      </c>
      <c r="P27" s="84">
        <f t="shared" si="8"/>
        <v>30601.126872747205</v>
      </c>
      <c r="Q27" s="85">
        <f t="shared" si="0"/>
        <v>1</v>
      </c>
      <c r="R27" s="86">
        <f t="shared" si="1"/>
        <v>29.909818098503379</v>
      </c>
      <c r="S27" s="94">
        <f t="shared" si="2"/>
        <v>1272.2310523385986</v>
      </c>
      <c r="T27" s="80">
        <f t="shared" si="9"/>
        <v>268.37317538582681</v>
      </c>
      <c r="W27" s="73"/>
    </row>
    <row r="28" spans="1:23" x14ac:dyDescent="0.25">
      <c r="H28" s="59">
        <f t="shared" si="3"/>
        <v>2042</v>
      </c>
      <c r="I28" s="97">
        <f t="shared" si="10"/>
        <v>137173.3841397065</v>
      </c>
      <c r="J28" s="60">
        <f t="shared" si="4"/>
        <v>4651966.9403900467</v>
      </c>
      <c r="K28" s="60">
        <f>IF(H28=Year_Open_to_Traffic?,Calculations!$E$4,K27+(K27*M28))</f>
        <v>4621181.8650492309</v>
      </c>
      <c r="L28" s="60">
        <f>IF(AND(H28&gt;=Year_Open_to_Traffic?, Calculations!H28&lt;Year_Open_to_Traffic?+'Inputs &amp; Outputs'!B$21), 1, 0)</f>
        <v>1</v>
      </c>
      <c r="M28" s="81">
        <f t="shared" si="11"/>
        <v>6.0111664787076968E-3</v>
      </c>
      <c r="N28" s="87">
        <f t="shared" si="12"/>
        <v>0.88183771641813147</v>
      </c>
      <c r="O28" s="88">
        <f t="shared" si="7"/>
        <v>1</v>
      </c>
      <c r="P28" s="84">
        <f t="shared" si="8"/>
        <v>30785.07534081582</v>
      </c>
      <c r="Q28" s="85">
        <f t="shared" si="0"/>
        <v>1</v>
      </c>
      <c r="R28" s="86">
        <f t="shared" si="1"/>
        <v>30.597743914768959</v>
      </c>
      <c r="S28" s="94">
        <f t="shared" si="2"/>
        <v>1309.3158538284599</v>
      </c>
      <c r="T28" s="80">
        <f t="shared" si="9"/>
        <v>258.12719502765322</v>
      </c>
      <c r="W28" s="73"/>
    </row>
    <row r="29" spans="1:23" x14ac:dyDescent="0.25">
      <c r="H29" s="15">
        <f t="shared" si="3"/>
        <v>2043</v>
      </c>
      <c r="I29" s="97">
        <f t="shared" si="10"/>
        <v>137997.956188218</v>
      </c>
      <c r="J29" s="60">
        <f t="shared" si="4"/>
        <v>4679930.6881221756</v>
      </c>
      <c r="K29" s="60">
        <f>IF(H29=Year_Open_to_Traffic?,Calculations!$E$4,K28+(K28*M29))</f>
        <v>4648960.5585684264</v>
      </c>
      <c r="L29" s="60">
        <f>IF(AND(H29&gt;=Year_Open_to_Traffic?, Calculations!H29&lt;Year_Open_to_Traffic?+'Inputs &amp; Outputs'!B$21), 1, 0)</f>
        <v>1</v>
      </c>
      <c r="M29" s="81">
        <f t="shared" si="11"/>
        <v>6.0111664787076968E-3</v>
      </c>
      <c r="N29" s="87">
        <f t="shared" si="12"/>
        <v>0.88713858973872406</v>
      </c>
      <c r="O29" s="88">
        <f t="shared" si="7"/>
        <v>1</v>
      </c>
      <c r="P29" s="84">
        <f t="shared" si="8"/>
        <v>30970.129553749226</v>
      </c>
      <c r="Q29" s="85">
        <f t="shared" si="0"/>
        <v>1</v>
      </c>
      <c r="R29" s="86">
        <f t="shared" si="1"/>
        <v>31.301492024808638</v>
      </c>
      <c r="S29" s="94">
        <f t="shared" si="2"/>
        <v>1347.4816558952207</v>
      </c>
      <c r="T29" s="80">
        <f t="shared" si="9"/>
        <v>248.27238682499987</v>
      </c>
      <c r="W29" s="73"/>
    </row>
    <row r="30" spans="1:23" x14ac:dyDescent="0.25">
      <c r="H30" s="15">
        <f t="shared" si="3"/>
        <v>2044</v>
      </c>
      <c r="I30" s="97">
        <f t="shared" si="10"/>
        <v>138827.48487658679</v>
      </c>
      <c r="J30" s="60">
        <f t="shared" si="4"/>
        <v>4708062.530597291</v>
      </c>
      <c r="K30" s="60">
        <f>IF(H30=Year_Open_to_Traffic?,Calculations!$E$4,K29+(K29*M30))</f>
        <v>4676906.2344389269</v>
      </c>
      <c r="L30" s="60">
        <f>IF(AND(H30&gt;=Year_Open_to_Traffic?, Calculations!H30&lt;Year_Open_to_Traffic?+'Inputs &amp; Outputs'!B$21), 1, 0)</f>
        <v>1</v>
      </c>
      <c r="M30" s="81">
        <f t="shared" si="11"/>
        <v>6.0111664787076968E-3</v>
      </c>
      <c r="N30" s="87">
        <f t="shared" si="12"/>
        <v>0.89247132749132929</v>
      </c>
      <c r="O30" s="88">
        <f t="shared" si="7"/>
        <v>1</v>
      </c>
      <c r="P30" s="84">
        <f t="shared" si="8"/>
        <v>31156.296158364043</v>
      </c>
      <c r="Q30" s="85">
        <f t="shared" si="0"/>
        <v>1</v>
      </c>
      <c r="R30" s="86">
        <f t="shared" si="1"/>
        <v>32.021426341379232</v>
      </c>
      <c r="S30" s="94">
        <f t="shared" si="2"/>
        <v>1386.7599690822988</v>
      </c>
      <c r="T30" s="80">
        <f t="shared" si="9"/>
        <v>238.79381656465415</v>
      </c>
      <c r="W30" s="73"/>
    </row>
    <row r="31" spans="1:23" x14ac:dyDescent="0.25">
      <c r="H31" s="15">
        <f t="shared" si="3"/>
        <v>2045</v>
      </c>
      <c r="I31" s="97">
        <f t="shared" si="10"/>
        <v>139662.00000000023</v>
      </c>
      <c r="J31" s="60">
        <f t="shared" si="4"/>
        <v>4736363.4782608775</v>
      </c>
      <c r="K31" s="60">
        <f>IF(H31=Year_Open_to_Traffic?,Calculations!$E$4,K30+(K30*M31))</f>
        <v>4705019.8964194451</v>
      </c>
      <c r="L31" s="60">
        <f>IF(AND(H31&gt;=Year_Open_to_Traffic?, Calculations!H31&lt;Year_Open_to_Traffic?+'Inputs &amp; Outputs'!B$21), 1, 0)</f>
        <v>1</v>
      </c>
      <c r="M31" s="81">
        <f t="shared" si="11"/>
        <v>6.0111664787076968E-3</v>
      </c>
      <c r="N31" s="87">
        <f t="shared" si="12"/>
        <v>0.89783612121835277</v>
      </c>
      <c r="O31" s="88">
        <f t="shared" si="7"/>
        <v>1</v>
      </c>
      <c r="P31" s="84">
        <f t="shared" si="8"/>
        <v>31343.581841432489</v>
      </c>
      <c r="Q31" s="85">
        <f t="shared" si="0"/>
        <v>1</v>
      </c>
      <c r="R31" s="86">
        <f t="shared" si="1"/>
        <v>32.757919147230957</v>
      </c>
      <c r="S31" s="94">
        <f t="shared" si="2"/>
        <v>1427.1832224473042</v>
      </c>
      <c r="T31" s="80">
        <f t="shared" si="9"/>
        <v>229.67712019342758</v>
      </c>
      <c r="W31" s="73"/>
    </row>
    <row r="32" spans="1:23" x14ac:dyDescent="0.25">
      <c r="H32" s="15">
        <f t="shared" si="3"/>
        <v>2046</v>
      </c>
      <c r="I32" s="97">
        <f t="shared" si="10"/>
        <v>140501.5315327495</v>
      </c>
      <c r="J32" s="60">
        <f t="shared" si="4"/>
        <v>4764834.5476323748</v>
      </c>
      <c r="K32" s="60">
        <f>IF(H32=Year_Open_to_Traffic?,Calculations!$E$4,K31+(K31*M32))</f>
        <v>4733302.554302454</v>
      </c>
      <c r="L32" s="60">
        <f>IF(AND(H32&gt;=Year_Open_to_Traffic?, Calculations!H32&lt;Year_Open_to_Traffic?+'Inputs &amp; Outputs'!B$21), 1, 0)</f>
        <v>1</v>
      </c>
      <c r="M32" s="81">
        <f t="shared" si="11"/>
        <v>6.0111664787076968E-3</v>
      </c>
      <c r="N32" s="87">
        <f t="shared" si="12"/>
        <v>0.90323316361359329</v>
      </c>
      <c r="O32" s="88">
        <f t="shared" si="7"/>
        <v>1</v>
      </c>
      <c r="P32" s="84">
        <f t="shared" si="8"/>
        <v>31531.993329920806</v>
      </c>
      <c r="Q32" s="85">
        <f t="shared" si="0"/>
        <v>1</v>
      </c>
      <c r="R32" s="86">
        <f t="shared" si="1"/>
        <v>33.511351287617266</v>
      </c>
      <c r="S32" s="94">
        <f t="shared" si="2"/>
        <v>1468.7847903361151</v>
      </c>
      <c r="T32" s="80">
        <f t="shared" si="9"/>
        <v>220.90848205051114</v>
      </c>
      <c r="W32" s="73"/>
    </row>
    <row r="33" spans="8:23" x14ac:dyDescent="0.25">
      <c r="H33" s="15">
        <f t="shared" si="3"/>
        <v>2047</v>
      </c>
      <c r="I33" s="97">
        <f t="shared" si="10"/>
        <v>141346.10962930627</v>
      </c>
      <c r="J33" s="60">
        <f t="shared" si="4"/>
        <v>4793476.761341691</v>
      </c>
      <c r="K33" s="60">
        <f>IF(H33=Year_Open_to_Traffic?,Calculations!$E$4,K32+(K32*M33))</f>
        <v>4761755.2239504587</v>
      </c>
      <c r="L33" s="60">
        <f>IF(AND(H33&gt;=Year_Open_to_Traffic?, Calculations!H33&lt;Year_Open_to_Traffic?+'Inputs &amp; Outputs'!B$21), 1, 0)</f>
        <v>1</v>
      </c>
      <c r="M33" s="81">
        <f t="shared" si="11"/>
        <v>6.0111664787076968E-3</v>
      </c>
      <c r="N33" s="87">
        <f t="shared" si="12"/>
        <v>0.90866264852916423</v>
      </c>
      <c r="O33" s="88">
        <f t="shared" si="7"/>
        <v>1</v>
      </c>
      <c r="P33" s="84">
        <f t="shared" si="8"/>
        <v>31721.537391232327</v>
      </c>
      <c r="Q33" s="85">
        <f t="shared" si="0"/>
        <v>1</v>
      </c>
      <c r="R33" s="86">
        <f t="shared" si="1"/>
        <v>34.282112367232457</v>
      </c>
      <c r="S33" s="94">
        <f t="shared" si="2"/>
        <v>1511.5990199375537</v>
      </c>
      <c r="T33" s="80">
        <f t="shared" si="9"/>
        <v>212.47461393090273</v>
      </c>
      <c r="W33" s="73"/>
    </row>
    <row r="34" spans="8:23" x14ac:dyDescent="0.25">
      <c r="H34" s="15">
        <f t="shared" si="3"/>
        <v>2048</v>
      </c>
      <c r="I34" s="97">
        <f t="shared" si="10"/>
        <v>142195.76462540569</v>
      </c>
      <c r="J34" s="60">
        <f t="shared" si="4"/>
        <v>4822291.1481659329</v>
      </c>
      <c r="K34" s="60">
        <f>IF(H34=Year_Open_to_Traffic?,Calculations!$E$4,K33+(K33*M34))</f>
        <v>4790378.9273324814</v>
      </c>
      <c r="L34" s="60">
        <f>IF(AND(H34&gt;=Year_Open_to_Traffic?, Calculations!H34&lt;Year_Open_to_Traffic?+'Inputs &amp; Outputs'!B$21), 1, 0)</f>
        <v>1</v>
      </c>
      <c r="M34" s="81">
        <f t="shared" si="11"/>
        <v>6.0111664787076968E-3</v>
      </c>
      <c r="N34" s="87">
        <f t="shared" si="12"/>
        <v>0.91412477098245626</v>
      </c>
      <c r="O34" s="88">
        <f t="shared" si="7"/>
        <v>1</v>
      </c>
      <c r="P34" s="84">
        <f t="shared" si="8"/>
        <v>31912.220833451487</v>
      </c>
      <c r="Q34" s="85">
        <f t="shared" si="0"/>
        <v>1</v>
      </c>
      <c r="R34" s="86">
        <f t="shared" si="1"/>
        <v>35.070600951678806</v>
      </c>
      <c r="S34" s="94">
        <f t="shared" si="2"/>
        <v>1555.6612596412406</v>
      </c>
      <c r="T34" s="80">
        <f t="shared" si="9"/>
        <v>204.36273494814759</v>
      </c>
      <c r="W34" s="73"/>
    </row>
    <row r="35" spans="8:23" x14ac:dyDescent="0.25">
      <c r="H35" s="15">
        <f t="shared" si="3"/>
        <v>2049</v>
      </c>
      <c r="I35" s="97">
        <f t="shared" si="10"/>
        <v>143050.52703913613</v>
      </c>
      <c r="J35" s="60">
        <f t="shared" si="4"/>
        <v>4851278.7430663565</v>
      </c>
      <c r="K35" s="60">
        <f>IF(H35=Year_Open_to_Traffic?,Calculations!$E$4,K34+(K34*M35))</f>
        <v>4819174.6925607705</v>
      </c>
      <c r="L35" s="60">
        <f>IF(AND(H35&gt;=Year_Open_to_Traffic?, Calculations!H35&lt;Year_Open_to_Traffic?+'Inputs &amp; Outputs'!B$21), 1, 0)</f>
        <v>1</v>
      </c>
      <c r="M35" s="81">
        <f t="shared" si="11"/>
        <v>6.0111664787076968E-3</v>
      </c>
      <c r="N35" s="87">
        <f t="shared" si="12"/>
        <v>0.91961972716314211</v>
      </c>
      <c r="O35" s="88">
        <f t="shared" si="7"/>
        <v>1</v>
      </c>
      <c r="P35" s="84">
        <f t="shared" si="8"/>
        <v>32104.050505585968</v>
      </c>
      <c r="Q35" s="85">
        <f t="shared" si="0"/>
        <v>1</v>
      </c>
      <c r="R35" s="86">
        <f t="shared" si="1"/>
        <v>35.877224773567399</v>
      </c>
      <c r="S35" s="94">
        <f t="shared" si="2"/>
        <v>1601.0078882219063</v>
      </c>
      <c r="T35" s="80">
        <f t="shared" si="9"/>
        <v>196.56055216585941</v>
      </c>
      <c r="W35" s="73"/>
    </row>
    <row r="36" spans="8:23" x14ac:dyDescent="0.25">
      <c r="H36" s="15">
        <f t="shared" si="3"/>
        <v>2050</v>
      </c>
      <c r="I36" s="97">
        <f t="shared" si="10"/>
        <v>143910.42757203526</v>
      </c>
      <c r="J36" s="60">
        <f t="shared" si="4"/>
        <v>4880440.5872255443</v>
      </c>
      <c r="K36" s="60">
        <f>IF(H36=Year_Open_to_Traffic?,Calculations!$E$4,K35+(K35*M36))</f>
        <v>4848143.553927728</v>
      </c>
      <c r="L36" s="60">
        <f>IF(AND(H36&gt;=Year_Open_to_Traffic?, Calculations!H36&lt;Year_Open_to_Traffic?+'Inputs &amp; Outputs'!B$21), 1, 0)</f>
        <v>1</v>
      </c>
      <c r="M36" s="81">
        <f t="shared" si="11"/>
        <v>6.0111664787076968E-3</v>
      </c>
      <c r="N36" s="87">
        <f t="shared" si="12"/>
        <v>0.92514771444022326</v>
      </c>
      <c r="O36" s="88">
        <f t="shared" si="7"/>
        <v>1</v>
      </c>
      <c r="P36" s="84">
        <f t="shared" si="8"/>
        <v>32297.033297816291</v>
      </c>
      <c r="Q36" s="85">
        <f t="shared" si="0"/>
        <v>1</v>
      </c>
      <c r="R36" s="86">
        <f t="shared" si="1"/>
        <v>36.702400943359457</v>
      </c>
      <c r="S36" s="94">
        <f t="shared" si="2"/>
        <v>1647.6763448747033</v>
      </c>
      <c r="T36" s="80">
        <f t="shared" si="9"/>
        <v>189.05624196873217</v>
      </c>
      <c r="W36" s="73"/>
    </row>
    <row r="37" spans="8:23" x14ac:dyDescent="0.25">
      <c r="H37" s="52"/>
      <c r="I37" s="52"/>
      <c r="J37" s="52"/>
      <c r="K37" s="52"/>
      <c r="L37" s="52"/>
      <c r="M37" s="75"/>
      <c r="N37" s="76"/>
      <c r="O37" s="77"/>
      <c r="P37" s="52"/>
      <c r="Q37" s="52"/>
      <c r="R37" s="52"/>
      <c r="S37" s="74"/>
      <c r="T37" s="80">
        <f>SUM(T4:T36)</f>
        <v>10492.790433011691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FA0D4-D89F-411B-AB92-9DB5FC892029}">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B5D90540-3F5E-474C-9A86-D177C8B4CD2B"/>
    <ds:schemaRef ds:uri="http://schemas.microsoft.com/office/infopath/2007/PartnerControls"/>
    <ds:schemaRef ds:uri="bb691747-8bc2-4259-b27e-e7a3fc70b31c"/>
    <ds:schemaRef ds:uri="http://www.w3.org/XML/1998/namespace"/>
  </ds:schemaRefs>
</ds:datastoreItem>
</file>

<file path=customXml/itemProps2.xml><?xml version="1.0" encoding="utf-8"?>
<ds:datastoreItem xmlns:ds="http://schemas.openxmlformats.org/officeDocument/2006/customXml" ds:itemID="{CFAF156D-60C0-41B6-8255-DD287433E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25060D-21C4-491F-8085-5977EDD00D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Ana Ramirez</cp:lastModifiedBy>
  <cp:lastPrinted>2018-07-16T14:36:56Z</cp:lastPrinted>
  <dcterms:created xsi:type="dcterms:W3CDTF">2012-07-25T15:48:32Z</dcterms:created>
  <dcterms:modified xsi:type="dcterms:W3CDTF">2018-10-31T03:34:57Z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