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a-vcenter\Conroe_Data\12300\12362 HGAC Submission - Shenandoah\03 Engineering\01 Submittal\02 Application\"/>
    </mc:Choice>
  </mc:AlternateContent>
  <bookViews>
    <workbookView xWindow="0" yWindow="0" windowWidth="25200" windowHeight="12570"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<sst xmlns="http://schemas.openxmlformats.org/spreadsheetml/2006/main" count="262" uniqueCount="130">
  <si>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</si>
  <si>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</si>
  <si>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</si>
  <si>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</si>
  <si>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</si>
  <si>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</si>
  <si>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</si>
  <si>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</si>
  <si>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</si>
  <si>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</si>
  <si>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</si>
  <si>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</si>
  <si>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</si>
  <si>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</si>
  <si>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</si>
  <si>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</si>
  <si>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</si>
  <si>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</si>
  <si>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</si>
  <si>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</si>
  <si>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</si>
  <si>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</si>
  <si>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</si>
  <si>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</si>
  <si>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</si>
  <si>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</si>
  <si>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</si>
  <si>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</si>
  <si>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</si>
  <si>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</si>
  <si>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</si>
  <si>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</si>
  <si>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</si>
  <si>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</si>
  <si>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</si>
  <si>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</si>
  <si>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</si>
  <si>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</si>
  <si>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</si>
  <si>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</si>
  <si>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</si>
  <si>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</si>
  <si>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</si>
  <si>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</si>
  <si>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</si>
  <si>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</si>
  <si>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</si>
  <si>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</si>
  <si>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</si>
  <si>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</si>
  <si>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</si>
  <si>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</si>
  <si>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</si>
  <si>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</si>
  <si>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</si>
  <si>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</si>
  <si>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</si>
  <si>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</si>
  <si>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</si>
  <si>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</si>
  <si>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</si>
  <si>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</si>
  <si>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</si>
  <si>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</si>
  <si>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</si>
  <si>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</si>
  <si>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</si>
  <si>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</si>
  <si>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</si>
  <si>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</si>
  <si>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</si>
  <si>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</si>
  <si>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</si>
  <si>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</si>
  <si>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</si>
  <si>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</si>
  <si>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</si>
  <si>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</si>
  <si>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</si>
  <si>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</si>
  <si>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</si>
  <si>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</si>
  <si>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</si>
  <si>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</si>
  <si>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</si>
  <si>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</si>
  <si>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</si>
  <si>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</si>
  <si>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</si>
  <si>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</si>
  <si>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</si>
  <si>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</si>
  <si>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</si>
  <si>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</si>
  <si>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</si>
  <si>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</si>
  <si>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</si>
  <si>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</si>
  <si>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</si>
  <si>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</si>
  <si>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</si>
  <si>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</si>
  <si>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</si>
  <si>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</si>
  <si>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</si>
  <si>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</si>
  <si>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</si>
  <si>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</si>
  <si>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</si>
  <si>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</si>
  <si>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</si>
  <si>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</si>
  <si>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</si>
  <si>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</si>
  <si>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</si>
  <si>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</si>
  <si>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</si>
  <si>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</si>
  <si>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</si>
  <si>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</si>
  <si>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</si>
  <si>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</si>
  <si>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</si>
  <si>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</si>
  <si>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</si>
  <si>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</si>
  <si>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</si>
  <si>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</si>
  <si>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</si>
  <si>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David Memorial Roadway extension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</si>
</sst>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24"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E21" sqref="E21"/>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187</v>
      </c>
      <c r="D7" s="98"/>
      <c r="E7" s="99" t="s">
        <v>127</v>
      </c>
    </row>
    <row r="8" spans="1:5" x14ac:dyDescent="0.25">
      <c r="A8" s="6" t="s">
        <v>52</v>
      </c>
      <c r="B8" s="6"/>
      <c r="D8" s="103"/>
      <c r="E8" s="99" t="s">
        <v>92</v>
      </c>
    </row>
    <row r="9" spans="1:5" x14ac:dyDescent="0.25">
      <c r="A9" s="6" t="s">
        <v>64</v>
      </c>
      <c r="B9" s="104" t="s">
        <v>73</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1.06</v>
      </c>
    </row>
    <row r="17" spans="1:3" x14ac:dyDescent="0.25">
      <c r="A17" s="107" t="s">
        <v>95</v>
      </c>
      <c r="B17" s="57">
        <v>17</v>
      </c>
    </row>
    <row r="18" spans="1:3" x14ac:dyDescent="0.25">
      <c r="A18" s="107" t="s">
        <v>96</v>
      </c>
      <c r="B18" s="57">
        <v>30</v>
      </c>
    </row>
    <row r="19" spans="1:3" x14ac:dyDescent="0.25">
      <c r="A19" s="96" t="s">
        <v>97</v>
      </c>
      <c r="B19" s="97">
        <f>VLOOKUP(B14,'Service Life'!C6:D8,2,FALSE)</f>
        <v>20</v>
      </c>
    </row>
    <row r="21" spans="1:3" x14ac:dyDescent="0.25">
      <c r="A21" s="102" t="s">
        <v>89</v>
      </c>
    </row>
    <row r="22" spans="1:3" ht="20.25" customHeight="1" x14ac:dyDescent="0.25">
      <c r="A22" s="107" t="s">
        <v>90</v>
      </c>
      <c r="B22" s="119">
        <v>67909</v>
      </c>
    </row>
    <row r="23" spans="1:3" ht="30" x14ac:dyDescent="0.25">
      <c r="A23" s="118" t="s">
        <v>101</v>
      </c>
      <c r="B23" s="120">
        <v>104938</v>
      </c>
    </row>
    <row r="24" spans="1:3" ht="30" x14ac:dyDescent="0.25">
      <c r="A24" s="118" t="s">
        <v>102</v>
      </c>
      <c r="B24" s="120">
        <v>131615</v>
      </c>
    </row>
    <row r="27" spans="1:3" ht="18.75" x14ac:dyDescent="0.3">
      <c r="A27" s="100" t="s">
        <v>55</v>
      </c>
      <c r="B27" s="101"/>
    </row>
    <row r="29" spans="1:3" x14ac:dyDescent="0.25">
      <c r="A29" s="108" t="s">
        <v>53</v>
      </c>
    </row>
    <row r="30" spans="1:3" x14ac:dyDescent="0.25">
      <c r="A30" s="105" t="s">
        <v>112</v>
      </c>
      <c r="B30" s="114">
        <f>'Benefit Calculations'!M37</f>
        <v>29561.842997302821</v>
      </c>
    </row>
    <row r="31" spans="1:3" x14ac:dyDescent="0.25">
      <c r="A31" s="105" t="s">
        <v>113</v>
      </c>
      <c r="B31" s="114">
        <f>'Benefit Calculations'!Q37</f>
        <v>3094.3874185892037</v>
      </c>
      <c r="C31" s="109"/>
    </row>
    <row r="32" spans="1:3" x14ac:dyDescent="0.25">
      <c r="A32" s="110"/>
      <c r="B32" s="111"/>
      <c r="C32" s="109"/>
    </row>
    <row r="33" spans="1:9" x14ac:dyDescent="0.25">
      <c r="A33" s="108" t="s">
        <v>94</v>
      </c>
      <c r="B33" s="111"/>
      <c r="C33" s="109"/>
    </row>
    <row r="34" spans="1:9" x14ac:dyDescent="0.25">
      <c r="A34" s="105" t="s">
        <v>114</v>
      </c>
      <c r="B34" s="114">
        <f>$B$30+$B$31</f>
        <v>32656.230415892023</v>
      </c>
      <c r="C34" s="109"/>
    </row>
    <row r="35" spans="1:9" x14ac:dyDescent="0.25">
      <c r="I35" s="112"/>
    </row>
    <row r="36" spans="1:9" x14ac:dyDescent="0.25">
      <c r="A36" s="108" t="s">
        <v>107</v>
      </c>
    </row>
    <row r="37" spans="1:9" x14ac:dyDescent="0.25">
      <c r="A37" s="105" t="s">
        <v>116</v>
      </c>
      <c r="B37" s="115">
        <f>'Benefit Calculations'!K37</f>
        <v>9.3836816931928375</v>
      </c>
    </row>
    <row r="38" spans="1:9" x14ac:dyDescent="0.25">
      <c r="A38" s="105" t="s">
        <v>117</v>
      </c>
      <c r="B38" s="115">
        <f>'Benefit Calculations'!O37</f>
        <v>3.8712010949824589</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7.3887497186699999E-2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1.95739008485999E-2</v>
      </c>
      <c r="F4" s="70">
        <v>2018</v>
      </c>
      <c r="G4" s="80">
        <f>'Inputs &amp; Outputs'!B22</f>
        <v>67909</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5.9836700558699898E-2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1.37772997841E-2</v>
      </c>
      <c r="F5" s="70">
        <f t="shared" ref="F5:F36" si="2">F4+1</f>
        <v>2019</v>
      </c>
      <c r="G5" s="80">
        <f>G4+G4*H5</f>
        <v>72265.017716639049</v>
      </c>
      <c r="H5" s="79">
        <f>$C$9</f>
        <v>6.4144925070889647E-2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76900.45186331938</v>
      </c>
      <c r="H6" s="79">
        <f t="shared" ref="H6:H11" si="7">$C$9</f>
        <v>6.4144925070889647E-2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81833.225586009561</v>
      </c>
      <c r="H7" s="79">
        <f t="shared" si="7"/>
        <v>6.4144925070889647E-2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87082.411709533349</v>
      </c>
      <c r="H8" s="79">
        <f t="shared" si="7"/>
        <v>6.4144925070889647E-2</v>
      </c>
      <c r="I8" s="70">
        <f>IF(AND(F8&gt;='Inputs &amp; Outputs'!B$13,F8&lt;'Inputs &amp; Outputs'!B$13+'Inputs &amp; Outputs'!B$19),1,0)</f>
        <v>1</v>
      </c>
      <c r="J8" s="71">
        <f>I8*'Inputs &amp; Outputs'!B$16*'Benefit Calculations'!G8*('Benefit Calculations'!C$4-'Benefit Calculations'!C$5)</f>
        <v>1296.9918922148133</v>
      </c>
      <c r="K8" s="89">
        <f t="shared" si="3"/>
        <v>0.37171939978642859</v>
      </c>
      <c r="L8" s="72">
        <f>K8*'Assumed Values'!$C$8</f>
        <v>2790.869253596506</v>
      </c>
      <c r="M8" s="73">
        <f t="shared" si="0"/>
        <v>2129.1407910194248</v>
      </c>
      <c r="N8" s="88">
        <f>I8*'Inputs &amp; Outputs'!B$16*'Benefit Calculations'!G8*('Benefit Calculations'!D$4-'Benefit Calculations'!D$5)</f>
        <v>535.06892043958158</v>
      </c>
      <c r="O8" s="89">
        <f t="shared" si="4"/>
        <v>0.1533513811027214</v>
      </c>
      <c r="P8" s="72">
        <f>ABS(O8*'Assumed Values'!$C$7)</f>
        <v>292.13438100068424</v>
      </c>
      <c r="Q8" s="73">
        <f t="shared" si="1"/>
        <v>222.86792053988952</v>
      </c>
      <c r="T8" s="85">
        <f t="shared" si="5"/>
        <v>0.33721789197585145</v>
      </c>
      <c r="U8" s="86">
        <f>T8*'Assumed Values'!$D$8</f>
        <v>0</v>
      </c>
    </row>
    <row r="9" spans="2:21" x14ac:dyDescent="0.25">
      <c r="B9" s="16" t="s">
        <v>104</v>
      </c>
      <c r="C9" s="67">
        <f>('Inputs &amp; Outputs'!B23/'Inputs &amp; Outputs'!B22)^(1/(2025-2018))-1</f>
        <v>6.4144925070889647E-2</v>
      </c>
      <c r="F9" s="70">
        <f t="shared" si="2"/>
        <v>2023</v>
      </c>
      <c r="G9" s="80">
        <f t="shared" si="6"/>
        <v>92668.306483633729</v>
      </c>
      <c r="H9" s="79">
        <f t="shared" si="7"/>
        <v>6.4144925070889647E-2</v>
      </c>
      <c r="I9" s="70">
        <f>IF(AND(F9&gt;='Inputs &amp; Outputs'!B$13,F9&lt;'Inputs &amp; Outputs'!B$13+'Inputs &amp; Outputs'!B$19),1,0)</f>
        <v>1</v>
      </c>
      <c r="J9" s="71">
        <f>I9*'Inputs &amp; Outputs'!B$16*'Benefit Calculations'!G9*('Benefit Calculations'!C$4-'Benefit Calculations'!C$5)</f>
        <v>1380.1873399584838</v>
      </c>
      <c r="K9" s="89">
        <f t="shared" si="3"/>
        <v>0.39556331283312512</v>
      </c>
      <c r="L9" s="72">
        <f>K9*'Assumed Values'!$C$8</f>
        <v>2969.8893527511036</v>
      </c>
      <c r="M9" s="73">
        <f t="shared" si="0"/>
        <v>2117.4900631072342</v>
      </c>
      <c r="N9" s="88">
        <f>I9*'Inputs &amp; Outputs'!B$16*'Benefit Calculations'!G9*('Benefit Calculations'!D$4-'Benefit Calculations'!D$5)</f>
        <v>569.39087624894034</v>
      </c>
      <c r="O9" s="89">
        <f t="shared" si="4"/>
        <v>0.1631880939530729</v>
      </c>
      <c r="P9" s="72">
        <f>ABS(O9*'Assumed Values'!$C$7)</f>
        <v>310.87331898060387</v>
      </c>
      <c r="Q9" s="73">
        <f t="shared" si="1"/>
        <v>221.64838000338852</v>
      </c>
      <c r="T9" s="85">
        <f t="shared" si="5"/>
        <v>0.35884870838920579</v>
      </c>
      <c r="U9" s="86">
        <f>T9*'Assumed Values'!$D$8</f>
        <v>0</v>
      </c>
    </row>
    <row r="10" spans="2:21" x14ac:dyDescent="0.25">
      <c r="B10" s="16" t="s">
        <v>105</v>
      </c>
      <c r="C10" s="67">
        <f>('Inputs &amp; Outputs'!B24/'Inputs &amp; Outputs'!B23)^(1/(2045-2020))-1</f>
        <v>9.1016219230000139E-3</v>
      </c>
      <c r="F10" s="70">
        <f t="shared" si="2"/>
        <v>2024</v>
      </c>
      <c r="G10" s="80">
        <f t="shared" si="6"/>
        <v>98612.508059472646</v>
      </c>
      <c r="H10" s="79">
        <f t="shared" si="7"/>
        <v>6.4144925070889647E-2</v>
      </c>
      <c r="I10" s="70">
        <f>IF(AND(F10&gt;='Inputs &amp; Outputs'!B$13,F10&lt;'Inputs &amp; Outputs'!B$13+'Inputs &amp; Outputs'!B$19),1,0)</f>
        <v>1</v>
      </c>
      <c r="J10" s="71">
        <f>I10*'Inputs &amp; Outputs'!B$16*'Benefit Calculations'!G10*('Benefit Calculations'!C$4-'Benefit Calculations'!C$5)</f>
        <v>1468.7193534639114</v>
      </c>
      <c r="K10" s="89">
        <f t="shared" si="3"/>
        <v>0.42093669189559885</v>
      </c>
      <c r="L10" s="72">
        <f>K10*'Assumed Values'!$C$8</f>
        <v>3160.3926827521564</v>
      </c>
      <c r="M10" s="73">
        <f t="shared" si="0"/>
        <v>2105.903088358506</v>
      </c>
      <c r="N10" s="88">
        <f>I10*'Inputs &amp; Outputs'!B$16*'Benefit Calculations'!G10*('Benefit Calculations'!D$4-'Benefit Calculations'!D$5)</f>
        <v>605.9144113419768</v>
      </c>
      <c r="O10" s="89">
        <f t="shared" si="4"/>
        <v>0.17365578201215404</v>
      </c>
      <c r="P10" s="72">
        <f>ABS(O10*'Assumed Values'!$C$7)</f>
        <v>330.81426473315344</v>
      </c>
      <c r="Q10" s="73">
        <f t="shared" si="1"/>
        <v>220.43551283251395</v>
      </c>
      <c r="T10" s="85">
        <f t="shared" si="5"/>
        <v>0.38186703190061694</v>
      </c>
      <c r="U10" s="86">
        <f>T10*'Assumed Values'!$D$8</f>
        <v>0</v>
      </c>
    </row>
    <row r="11" spans="2:21" x14ac:dyDescent="0.25">
      <c r="B11" s="16" t="s">
        <v>106</v>
      </c>
      <c r="C11" s="67">
        <f>('Inputs &amp; Outputs'!B24/'Inputs &amp; Outputs'!B22)^(1/(2045-2018))-1</f>
        <v>2.4810653697891372E-2</v>
      </c>
      <c r="F11" s="70">
        <f t="shared" si="2"/>
        <v>2025</v>
      </c>
      <c r="G11" s="80">
        <f>'Inputs &amp; Outputs'!$B$23</f>
        <v>104938</v>
      </c>
      <c r="H11" s="79">
        <f t="shared" si="7"/>
        <v>6.4144925070889647E-2</v>
      </c>
      <c r="I11" s="70">
        <f>IF(AND(F11&gt;='Inputs &amp; Outputs'!B$13,F11&lt;'Inputs &amp; Outputs'!B$13+'Inputs &amp; Outputs'!B$19),1,0)</f>
        <v>1</v>
      </c>
      <c r="J11" s="71">
        <f>I11*'Inputs &amp; Outputs'!B$16*'Benefit Calculations'!G11*('Benefit Calculations'!C$4-'Benefit Calculations'!C$5)</f>
        <v>1562.930246342019</v>
      </c>
      <c r="K11" s="89">
        <f t="shared" si="3"/>
        <v>0.4479376444568301</v>
      </c>
      <c r="L11" s="72">
        <f>K11*'Assumed Values'!$C$8</f>
        <v>3363.1158345818803</v>
      </c>
      <c r="M11" s="73">
        <f t="shared" si="0"/>
        <v>2094.3795179138474</v>
      </c>
      <c r="N11" s="88">
        <f>I11*'Inputs &amp; Outputs'!B$16*'Benefit Calculations'!G11*('Benefit Calculations'!D$4-'Benefit Calculations'!D$5)</f>
        <v>644.78074585688</v>
      </c>
      <c r="O11" s="89">
        <f t="shared" si="4"/>
        <v>0.18479491913745039</v>
      </c>
      <c r="P11" s="72">
        <f>ABS(O11*'Assumed Values'!$C$7)</f>
        <v>352.03432095684298</v>
      </c>
      <c r="Q11" s="73">
        <f t="shared" si="1"/>
        <v>219.22928251039127</v>
      </c>
      <c r="T11" s="85">
        <f t="shared" si="5"/>
        <v>0.40636186404892494</v>
      </c>
      <c r="U11" s="86">
        <f>T11*'Assumed Values'!$D$8</f>
        <v>0</v>
      </c>
    </row>
    <row r="12" spans="2:21" x14ac:dyDescent="0.25">
      <c r="B12" s="27"/>
      <c r="C12" s="68"/>
      <c r="F12" s="70">
        <f t="shared" si="2"/>
        <v>2026</v>
      </c>
      <c r="G12" s="80">
        <f t="shared" si="6"/>
        <v>105893.10600135577</v>
      </c>
      <c r="H12" s="79">
        <f>$C$10</f>
        <v>9.1016219230000139E-3</v>
      </c>
      <c r="I12" s="70">
        <f>IF(AND(F12&gt;='Inputs &amp; Outputs'!B$13,F12&lt;'Inputs &amp; Outputs'!B$13+'Inputs &amp; Outputs'!B$19),1,0)</f>
        <v>1</v>
      </c>
      <c r="J12" s="71">
        <f>I12*'Inputs &amp; Outputs'!B$16*'Benefit Calculations'!G12*('Benefit Calculations'!C$4-'Benefit Calculations'!C$5)</f>
        <v>1577.1554465362453</v>
      </c>
      <c r="K12" s="89">
        <f t="shared" si="3"/>
        <v>0.45201460354175532</v>
      </c>
      <c r="L12" s="72">
        <f>K12*'Assumed Values'!$C$8</f>
        <v>3393.725643391499</v>
      </c>
      <c r="M12" s="73">
        <f t="shared" si="0"/>
        <v>1975.1792228496954</v>
      </c>
      <c r="N12" s="88">
        <f>I12*'Inputs &amp; Outputs'!B$16*'Benefit Calculations'!G12*('Benefit Calculations'!D$4-'Benefit Calculations'!D$5)</f>
        <v>650.64929642889922</v>
      </c>
      <c r="O12" s="89">
        <f t="shared" si="4"/>
        <v>0.18647685262473082</v>
      </c>
      <c r="P12" s="72">
        <f>ABS(O12*'Assumed Values'!$C$7)</f>
        <v>355.23840425011224</v>
      </c>
      <c r="Q12" s="73">
        <f t="shared" si="1"/>
        <v>206.75198556472097</v>
      </c>
      <c r="T12" s="85">
        <f t="shared" si="5"/>
        <v>0.41006041609942379</v>
      </c>
      <c r="U12" s="86">
        <f>T12*'Assumed Values'!$D$8</f>
        <v>0</v>
      </c>
    </row>
    <row r="13" spans="2:21" x14ac:dyDescent="0.25">
      <c r="B13" s="27"/>
      <c r="C13" s="68"/>
      <c r="F13" s="70">
        <f t="shared" si="2"/>
        <v>2027</v>
      </c>
      <c r="G13" s="80">
        <f t="shared" si="6"/>
        <v>106856.90501643228</v>
      </c>
      <c r="H13" s="79">
        <f t="shared" ref="H13:H36" si="8">$C$10</f>
        <v>9.1016219230000139E-3</v>
      </c>
      <c r="I13" s="70">
        <f>IF(AND(F13&gt;='Inputs &amp; Outputs'!B$13,F13&lt;'Inputs &amp; Outputs'!B$13+'Inputs &amp; Outputs'!B$19),1,0)</f>
        <v>1</v>
      </c>
      <c r="J13" s="71">
        <f>I13*'Inputs &amp; Outputs'!B$16*'Benefit Calculations'!G13*('Benefit Calculations'!C$4-'Benefit Calculations'!C$5)</f>
        <v>1591.5101191244187</v>
      </c>
      <c r="K13" s="89">
        <f t="shared" si="3"/>
        <v>0.45612866956686721</v>
      </c>
      <c r="L13" s="72">
        <f>K13*'Assumed Values'!$C$8</f>
        <v>3424.6140511080389</v>
      </c>
      <c r="M13" s="73">
        <f t="shared" si="0"/>
        <v>1862.7631377254563</v>
      </c>
      <c r="N13" s="88">
        <f>I13*'Inputs &amp; Outputs'!B$16*'Benefit Calculations'!G13*('Benefit Calculations'!D$4-'Benefit Calculations'!D$5)</f>
        <v>656.5712603294611</v>
      </c>
      <c r="O13" s="89">
        <f t="shared" si="4"/>
        <v>0.18817409443471211</v>
      </c>
      <c r="P13" s="72">
        <f>ABS(O13*'Assumed Values'!$C$7)</f>
        <v>358.4716498981266</v>
      </c>
      <c r="Q13" s="73">
        <f t="shared" si="1"/>
        <v>194.98482613940243</v>
      </c>
      <c r="T13" s="85">
        <f t="shared" si="5"/>
        <v>0.41379263097234886</v>
      </c>
      <c r="U13" s="86">
        <f>T13*'Assumed Values'!$D$8</f>
        <v>0</v>
      </c>
    </row>
    <row r="14" spans="2:21" x14ac:dyDescent="0.25">
      <c r="B14" s="27"/>
      <c r="C14" s="68"/>
      <c r="F14" s="70">
        <f t="shared" si="2"/>
        <v>2028</v>
      </c>
      <c r="G14" s="80">
        <f t="shared" si="6"/>
        <v>107829.47616575377</v>
      </c>
      <c r="H14" s="79">
        <f t="shared" si="8"/>
        <v>9.1016219230000139E-3</v>
      </c>
      <c r="I14" s="70">
        <f>IF(AND(F14&gt;='Inputs &amp; Outputs'!B$13,F14&lt;'Inputs &amp; Outputs'!B$13+'Inputs &amp; Outputs'!B$19),1,0)</f>
        <v>1</v>
      </c>
      <c r="J14" s="71">
        <f>I14*'Inputs &amp; Outputs'!B$16*'Benefit Calculations'!G14*('Benefit Calculations'!C$4-'Benefit Calculations'!C$5)</f>
        <v>1605.9954425153178</v>
      </c>
      <c r="K14" s="89">
        <f t="shared" si="3"/>
        <v>0.46028018026550582</v>
      </c>
      <c r="L14" s="72">
        <f>K14*'Assumed Values'!$C$8</f>
        <v>3455.7835934334175</v>
      </c>
      <c r="M14" s="73">
        <f t="shared" si="0"/>
        <v>1756.7451434926493</v>
      </c>
      <c r="N14" s="88">
        <f>I14*'Inputs &amp; Outputs'!B$16*'Benefit Calculations'!G14*('Benefit Calculations'!D$4-'Benefit Calculations'!D$5)</f>
        <v>662.54712370648747</v>
      </c>
      <c r="O14" s="89">
        <f t="shared" si="4"/>
        <v>0.18988678389795977</v>
      </c>
      <c r="P14" s="72">
        <f>ABS(O14*'Assumed Values'!$C$7)</f>
        <v>361.73432332561333</v>
      </c>
      <c r="Q14" s="73">
        <f t="shared" si="1"/>
        <v>183.88738720340666</v>
      </c>
      <c r="T14" s="85">
        <f t="shared" si="5"/>
        <v>0.41755881505398262</v>
      </c>
      <c r="U14" s="86">
        <f>T14*'Assumed Values'!$D$8</f>
        <v>0</v>
      </c>
    </row>
    <row r="15" spans="2:21" x14ac:dyDescent="0.25">
      <c r="B15" s="27"/>
      <c r="C15" s="69"/>
      <c r="F15" s="70">
        <f t="shared" si="2"/>
        <v>2029</v>
      </c>
      <c r="G15" s="80">
        <f t="shared" si="6"/>
        <v>108810.8992899696</v>
      </c>
      <c r="H15" s="79">
        <f t="shared" si="8"/>
        <v>9.1016219230000139E-3</v>
      </c>
      <c r="I15" s="70">
        <f>IF(AND(F15&gt;='Inputs &amp; Outputs'!B$13,F15&lt;'Inputs &amp; Outputs'!B$13+'Inputs &amp; Outputs'!B$19),1,0)</f>
        <v>1</v>
      </c>
      <c r="J15" s="71">
        <f>I15*'Inputs &amp; Outputs'!B$16*'Benefit Calculations'!G15*('Benefit Calculations'!C$4-'Benefit Calculations'!C$5)</f>
        <v>1620.6126058431535</v>
      </c>
      <c r="K15" s="89">
        <f t="shared" si="3"/>
        <v>0.46446947644493275</v>
      </c>
      <c r="L15" s="72">
        <f>K15*'Assumed Values'!$C$8</f>
        <v>3487.236829148555</v>
      </c>
      <c r="M15" s="73">
        <f t="shared" si="0"/>
        <v>1656.7610968259678</v>
      </c>
      <c r="N15" s="88">
        <f>I15*'Inputs &amp; Outputs'!B$16*'Benefit Calculations'!G15*('Benefit Calculations'!D$4-'Benefit Calculations'!D$5)</f>
        <v>668.57737713263509</v>
      </c>
      <c r="O15" s="89">
        <f t="shared" si="4"/>
        <v>0.19161506161317343</v>
      </c>
      <c r="P15" s="72">
        <f>ABS(O15*'Assumed Values'!$C$7)</f>
        <v>365.02669237309539</v>
      </c>
      <c r="Q15" s="73">
        <f t="shared" si="1"/>
        <v>173.42155203564525</v>
      </c>
      <c r="T15" s="85">
        <f t="shared" si="5"/>
        <v>0.42135927751921992</v>
      </c>
      <c r="U15" s="86">
        <f>T15*'Assumed Values'!$D$8</f>
        <v>0</v>
      </c>
    </row>
    <row r="16" spans="2:21" x14ac:dyDescent="0.25">
      <c r="B16" s="27"/>
      <c r="C16" s="69"/>
      <c r="F16" s="70">
        <f t="shared" si="2"/>
        <v>2030</v>
      </c>
      <c r="G16" s="80">
        <f t="shared" si="6"/>
        <v>109801.25495640853</v>
      </c>
      <c r="H16" s="79">
        <f t="shared" si="8"/>
        <v>9.1016219230000139E-3</v>
      </c>
      <c r="I16" s="70">
        <f>IF(AND(F16&gt;='Inputs &amp; Outputs'!B$13,F16&lt;'Inputs &amp; Outputs'!B$13+'Inputs &amp; Outputs'!B$19),1,0)</f>
        <v>1</v>
      </c>
      <c r="J16" s="71">
        <f>I16*'Inputs &amp; Outputs'!B$16*'Benefit Calculations'!G16*('Benefit Calculations'!C$4-'Benefit Calculations'!C$5)</f>
        <v>1635.3628090651855</v>
      </c>
      <c r="K16" s="89">
        <f t="shared" si="3"/>
        <v>0.46869690201430825</v>
      </c>
      <c r="L16" s="72">
        <f>K16*'Assumed Values'!$C$8</f>
        <v>3518.9763403234265</v>
      </c>
      <c r="M16" s="73">
        <f t="shared" si="0"/>
        <v>1562.467579388797</v>
      </c>
      <c r="N16" s="88">
        <f>I16*'Inputs &amp; Outputs'!B$16*'Benefit Calculations'!G16*('Benefit Calculations'!D$4-'Benefit Calculations'!D$5)</f>
        <v>674.66251564556728</v>
      </c>
      <c r="O16" s="89">
        <f t="shared" si="4"/>
        <v>0.19335906945872888</v>
      </c>
      <c r="P16" s="72">
        <f>ABS(O16*'Assumed Values'!$C$7)</f>
        <v>368.34902731887854</v>
      </c>
      <c r="Q16" s="73">
        <f t="shared" si="1"/>
        <v>163.55137330427439</v>
      </c>
      <c r="T16" s="85">
        <f t="shared" si="5"/>
        <v>0.42519433035694826</v>
      </c>
      <c r="U16" s="86">
        <f>T16*'Assumed Values'!$D$8</f>
        <v>0</v>
      </c>
    </row>
    <row r="17" spans="2:21" x14ac:dyDescent="0.25">
      <c r="B17" s="27"/>
      <c r="C17" s="69"/>
      <c r="F17" s="70">
        <f t="shared" si="2"/>
        <v>2031</v>
      </c>
      <c r="G17" s="80">
        <f t="shared" si="6"/>
        <v>110800.6244656927</v>
      </c>
      <c r="H17" s="79">
        <f t="shared" si="8"/>
        <v>9.1016219230000139E-3</v>
      </c>
      <c r="I17" s="70">
        <f>IF(AND(F17&gt;='Inputs &amp; Outputs'!B$13,F17&lt;'Inputs &amp; Outputs'!B$13+'Inputs &amp; Outputs'!B$19),1,0)</f>
        <v>1</v>
      </c>
      <c r="J17" s="71">
        <f>I17*'Inputs &amp; Outputs'!B$16*'Benefit Calculations'!G17*('Benefit Calculations'!C$4-'Benefit Calculations'!C$5)</f>
        <v>1650.2472630602322</v>
      </c>
      <c r="K17" s="89">
        <f t="shared" si="3"/>
        <v>0.4729628040129239</v>
      </c>
      <c r="L17" s="72">
        <f>K17*'Assumed Values'!$C$8</f>
        <v>3551.0047325290325</v>
      </c>
      <c r="M17" s="73">
        <f t="shared" si="0"/>
        <v>1473.5407182834942</v>
      </c>
      <c r="N17" s="88">
        <f>I17*'Inputs &amp; Outputs'!B$16*'Benefit Calculations'!G17*('Benefit Calculations'!D$4-'Benefit Calculations'!D$5)</f>
        <v>680.80303878859331</v>
      </c>
      <c r="O17" s="89">
        <f t="shared" si="4"/>
        <v>0.19511895060432533</v>
      </c>
      <c r="P17" s="72">
        <f>ABS(O17*'Assumed Values'!$C$7)</f>
        <v>371.70160090123977</v>
      </c>
      <c r="Q17" s="73">
        <f t="shared" si="1"/>
        <v>154.24294959726851</v>
      </c>
      <c r="T17" s="85">
        <f t="shared" si="5"/>
        <v>0.42906428839566035</v>
      </c>
      <c r="U17" s="86">
        <f>T17*'Assumed Values'!$D$8</f>
        <v>0</v>
      </c>
    </row>
    <row r="18" spans="2:21" x14ac:dyDescent="0.25">
      <c r="F18" s="70">
        <f t="shared" si="2"/>
        <v>2032</v>
      </c>
      <c r="G18" s="80">
        <f t="shared" si="6"/>
        <v>111809.08985841174</v>
      </c>
      <c r="H18" s="79">
        <f t="shared" si="8"/>
        <v>9.1016219230000139E-3</v>
      </c>
      <c r="I18" s="70">
        <f>IF(AND(F18&gt;='Inputs &amp; Outputs'!B$13,F18&lt;'Inputs &amp; Outputs'!B$13+'Inputs &amp; Outputs'!B$19),1,0)</f>
        <v>1</v>
      </c>
      <c r="J18" s="71">
        <f>I18*'Inputs &amp; Outputs'!B$16*'Benefit Calculations'!G18*('Benefit Calculations'!C$4-'Benefit Calculations'!C$5)</f>
        <v>1665.267189728072</v>
      </c>
      <c r="K18" s="89">
        <f t="shared" si="3"/>
        <v>0.47726753263869154</v>
      </c>
      <c r="L18" s="72">
        <f>K18*'Assumed Values'!$C$8</f>
        <v>3583.3246350512959</v>
      </c>
      <c r="M18" s="73">
        <f t="shared" si="0"/>
        <v>1389.6750736350061</v>
      </c>
      <c r="N18" s="88">
        <f>I18*'Inputs &amp; Outputs'!B$16*'Benefit Calculations'!G18*('Benefit Calculations'!D$4-'Benefit Calculations'!D$5)</f>
        <v>686.99945065167663</v>
      </c>
      <c r="O18" s="89">
        <f t="shared" si="4"/>
        <v>0.19689484952273839</v>
      </c>
      <c r="P18" s="72">
        <f>ABS(O18*'Assumed Values'!$C$7)</f>
        <v>375.08468834081663</v>
      </c>
      <c r="Q18" s="73">
        <f t="shared" si="1"/>
        <v>145.46430898017869</v>
      </c>
      <c r="T18" s="85">
        <f t="shared" si="5"/>
        <v>0.4329694693292987</v>
      </c>
      <c r="U18" s="86">
        <f>T18*'Assumed Values'!$D$8</f>
        <v>0</v>
      </c>
    </row>
    <row r="19" spans="2:21" x14ac:dyDescent="0.25">
      <c r="F19" s="70">
        <f t="shared" si="2"/>
        <v>2033</v>
      </c>
      <c r="G19" s="80">
        <f t="shared" si="6"/>
        <v>112826.73392185774</v>
      </c>
      <c r="H19" s="79">
        <f t="shared" si="8"/>
        <v>9.1016219230000139E-3</v>
      </c>
      <c r="I19" s="70">
        <f>IF(AND(F19&gt;='Inputs &amp; Outputs'!B$13,F19&lt;'Inputs &amp; Outputs'!B$13+'Inputs &amp; Outputs'!B$19),1,0)</f>
        <v>1</v>
      </c>
      <c r="J19" s="71">
        <f>I19*'Inputs &amp; Outputs'!B$16*'Benefit Calculations'!G19*('Benefit Calculations'!C$4-'Benefit Calculations'!C$5)</f>
        <v>1680.4238220897535</v>
      </c>
      <c r="K19" s="89">
        <f t="shared" si="3"/>
        <v>0.48161144127689187</v>
      </c>
      <c r="L19" s="72">
        <f>K19*'Assumed Values'!$C$8</f>
        <v>3615.9387011069043</v>
      </c>
      <c r="M19" s="73">
        <f t="shared" si="0"/>
        <v>1310.5825894869615</v>
      </c>
      <c r="N19" s="88">
        <f>I19*'Inputs &amp; Outputs'!B$16*'Benefit Calculations'!G19*('Benefit Calculations'!D$4-'Benefit Calculations'!D$5)</f>
        <v>693.25225991281684</v>
      </c>
      <c r="O19" s="89">
        <f t="shared" si="4"/>
        <v>0.19868691200168034</v>
      </c>
      <c r="P19" s="72">
        <f>ABS(O19*'Assumed Values'!$C$7)</f>
        <v>378.49856736320106</v>
      </c>
      <c r="Q19" s="73">
        <f t="shared" si="1"/>
        <v>137.18529918112776</v>
      </c>
      <c r="T19" s="85">
        <f t="shared" si="5"/>
        <v>0.4369101937433359</v>
      </c>
      <c r="U19" s="86">
        <f>T19*'Assumed Values'!$D$8</f>
        <v>0</v>
      </c>
    </row>
    <row r="20" spans="2:21" x14ac:dyDescent="0.25">
      <c r="F20" s="70">
        <f t="shared" si="2"/>
        <v>2034</v>
      </c>
      <c r="G20" s="80">
        <f t="shared" si="6"/>
        <v>113853.6401968214</v>
      </c>
      <c r="H20" s="79">
        <f t="shared" si="8"/>
        <v>9.1016219230000139E-3</v>
      </c>
      <c r="I20" s="70">
        <f>IF(AND(F20&gt;='Inputs &amp; Outputs'!B$13,F20&lt;'Inputs &amp; Outputs'!B$13+'Inputs &amp; Outputs'!B$19),1,0)</f>
        <v>1</v>
      </c>
      <c r="J20" s="71">
        <f>I20*'Inputs &amp; Outputs'!B$16*'Benefit Calculations'!G20*('Benefit Calculations'!C$4-'Benefit Calculations'!C$5)</f>
        <v>1695.7184043888169</v>
      </c>
      <c r="K20" s="89">
        <f t="shared" si="3"/>
        <v>0.48599488652918527</v>
      </c>
      <c r="L20" s="72">
        <f>K20*'Assumed Values'!$C$8</f>
        <v>3648.849608061123</v>
      </c>
      <c r="M20" s="73">
        <f t="shared" si="0"/>
        <v>1235.9916044068582</v>
      </c>
      <c r="N20" s="88">
        <f>I20*'Inputs &amp; Outputs'!B$16*'Benefit Calculations'!G20*('Benefit Calculations'!D$4-'Benefit Calculations'!D$5)</f>
        <v>699.56197987980863</v>
      </c>
      <c r="O20" s="89">
        <f t="shared" si="4"/>
        <v>0.200495285155768</v>
      </c>
      <c r="P20" s="72">
        <f>ABS(O20*'Assumed Values'!$C$7)</f>
        <v>381.94351822173803</v>
      </c>
      <c r="Q20" s="73">
        <f t="shared" si="1"/>
        <v>129.377484025858</v>
      </c>
      <c r="T20" s="85">
        <f t="shared" si="5"/>
        <v>0.44088678514109236</v>
      </c>
      <c r="U20" s="86">
        <f>T20*'Assumed Values'!$D$8</f>
        <v>0</v>
      </c>
    </row>
    <row r="21" spans="2:21" x14ac:dyDescent="0.25">
      <c r="F21" s="70">
        <f t="shared" si="2"/>
        <v>2035</v>
      </c>
      <c r="G21" s="80">
        <f t="shared" si="6"/>
        <v>114889.89298445015</v>
      </c>
      <c r="H21" s="79">
        <f t="shared" si="8"/>
        <v>9.1016219230000139E-3</v>
      </c>
      <c r="I21" s="70">
        <f>IF(AND(F21&gt;='Inputs &amp; Outputs'!B$13,F21&lt;'Inputs &amp; Outputs'!B$13+'Inputs &amp; Outputs'!B$19),1,0)</f>
        <v>1</v>
      </c>
      <c r="J21" s="71">
        <f>I21*'Inputs &amp; Outputs'!B$16*'Benefit Calculations'!G21*('Benefit Calculations'!C$4-'Benefit Calculations'!C$5)</f>
        <v>1711.152192193437</v>
      </c>
      <c r="K21" s="89">
        <f t="shared" si="3"/>
        <v>0.49041822824288528</v>
      </c>
      <c r="L21" s="72">
        <f>K21*'Assumed Values'!$C$8</f>
        <v>3682.0600576475827</v>
      </c>
      <c r="M21" s="73">
        <f t="shared" si="0"/>
        <v>1165.6459184020298</v>
      </c>
      <c r="N21" s="88">
        <f>I21*'Inputs &amp; Outputs'!B$16*'Benefit Calculations'!G21*('Benefit Calculations'!D$4-'Benefit Calculations'!D$5)</f>
        <v>705.9291285323801</v>
      </c>
      <c r="O21" s="89">
        <f t="shared" si="4"/>
        <v>0.20232011743859993</v>
      </c>
      <c r="P21" s="72">
        <f>ABS(O21*'Assumed Values'!$C$7)</f>
        <v>385.41982372053286</v>
      </c>
      <c r="Q21" s="73">
        <f t="shared" si="1"/>
        <v>122.01404576711248</v>
      </c>
      <c r="T21" s="85">
        <f t="shared" si="5"/>
        <v>0.44489956997029362</v>
      </c>
      <c r="U21" s="86">
        <f>T21*'Assumed Values'!$D$8</f>
        <v>0</v>
      </c>
    </row>
    <row r="22" spans="2:21" x14ac:dyDescent="0.25">
      <c r="F22" s="70">
        <f t="shared" si="2"/>
        <v>2036</v>
      </c>
      <c r="G22" s="80">
        <f t="shared" si="6"/>
        <v>115935.57735316856</v>
      </c>
      <c r="H22" s="79">
        <f t="shared" si="8"/>
        <v>9.1016219230000139E-3</v>
      </c>
      <c r="I22" s="70">
        <f>IF(AND(F22&gt;='Inputs &amp; Outputs'!B$13,F22&lt;'Inputs &amp; Outputs'!B$13+'Inputs &amp; Outputs'!B$19),1,0)</f>
        <v>1</v>
      </c>
      <c r="J22" s="71">
        <f>I22*'Inputs &amp; Outputs'!B$16*'Benefit Calculations'!G22*('Benefit Calculations'!C$4-'Benefit Calculations'!C$5)</f>
        <v>1726.7264524994944</v>
      </c>
      <c r="K22" s="89">
        <f t="shared" si="3"/>
        <v>0.49488182954049953</v>
      </c>
      <c r="L22" s="72">
        <f>K22*'Assumed Values'!$C$8</f>
        <v>3715.5727761900703</v>
      </c>
      <c r="M22" s="73">
        <f t="shared" si="0"/>
        <v>1099.3039129415076</v>
      </c>
      <c r="N22" s="88">
        <f>I22*'Inputs &amp; Outputs'!B$16*'Benefit Calculations'!G22*('Benefit Calculations'!D$4-'Benefit Calculations'!D$5)</f>
        <v>712.35422856471462</v>
      </c>
      <c r="O22" s="89">
        <f t="shared" si="4"/>
        <v>0.20416155865494298</v>
      </c>
      <c r="P22" s="72">
        <f>ABS(O22*'Assumed Values'!$C$7)</f>
        <v>388.92776923766638</v>
      </c>
      <c r="Q22" s="73">
        <f t="shared" si="1"/>
        <v>115.06969297287881</v>
      </c>
      <c r="T22" s="85">
        <f t="shared" si="5"/>
        <v>0.44894887764986857</v>
      </c>
      <c r="U22" s="86">
        <f>T22*'Assumed Values'!$D$8</f>
        <v>0</v>
      </c>
    </row>
    <row r="23" spans="2:21" x14ac:dyDescent="0.25">
      <c r="F23" s="70">
        <f t="shared" si="2"/>
        <v>2037</v>
      </c>
      <c r="G23" s="80">
        <f t="shared" si="6"/>
        <v>116990.77914566181</v>
      </c>
      <c r="H23" s="79">
        <f t="shared" si="8"/>
        <v>9.1016219230000139E-3</v>
      </c>
      <c r="I23" s="70">
        <f>IF(AND(F23&gt;='Inputs &amp; Outputs'!B$13,F23&lt;'Inputs &amp; Outputs'!B$13+'Inputs &amp; Outputs'!B$19),1,0)</f>
        <v>1</v>
      </c>
      <c r="J23" s="71">
        <f>I23*'Inputs &amp; Outputs'!B$16*'Benefit Calculations'!G23*('Benefit Calculations'!C$4-'Benefit Calculations'!C$5)</f>
        <v>1742.4424638345879</v>
      </c>
      <c r="K23" s="89">
        <f t="shared" si="3"/>
        <v>0.49938605684953974</v>
      </c>
      <c r="L23" s="72">
        <f>K23*'Assumed Values'!$C$8</f>
        <v>3749.3905148263443</v>
      </c>
      <c r="M23" s="73">
        <f t="shared" si="0"/>
        <v>1036.7377210612858</v>
      </c>
      <c r="N23" s="88">
        <f>I23*'Inputs &amp; Outputs'!B$16*'Benefit Calculations'!G23*('Benefit Calculations'!D$4-'Benefit Calculations'!D$5)</f>
        <v>718.83780742836109</v>
      </c>
      <c r="O23" s="89">
        <f t="shared" si="4"/>
        <v>0.20601975997303068</v>
      </c>
      <c r="P23" s="72">
        <f>ABS(O23*'Assumed Values'!$C$7)</f>
        <v>392.46764274862346</v>
      </c>
      <c r="Q23" s="73">
        <f t="shared" si="1"/>
        <v>108.52057365711556</v>
      </c>
      <c r="T23" s="85">
        <f t="shared" si="5"/>
        <v>0.45303504059699284</v>
      </c>
      <c r="U23" s="86">
        <f>T23*'Assumed Values'!$D$8</f>
        <v>0</v>
      </c>
    </row>
    <row r="24" spans="2:21" x14ac:dyDescent="0.25">
      <c r="F24" s="70">
        <f t="shared" si="2"/>
        <v>2038</v>
      </c>
      <c r="G24" s="80">
        <f t="shared" si="6"/>
        <v>118055.58498592282</v>
      </c>
      <c r="H24" s="79">
        <f t="shared" si="8"/>
        <v>9.1016219230000139E-3</v>
      </c>
      <c r="I24" s="70">
        <f>IF(AND(F24&gt;='Inputs &amp; Outputs'!B$13,F24&lt;'Inputs &amp; Outputs'!B$13+'Inputs &amp; Outputs'!B$19),1,0)</f>
        <v>1</v>
      </c>
      <c r="J24" s="71">
        <f>I24*'Inputs &amp; Outputs'!B$16*'Benefit Calculations'!G24*('Benefit Calculations'!C$4-'Benefit Calculations'!C$5)</f>
        <v>1758.3015163629907</v>
      </c>
      <c r="K24" s="89">
        <f t="shared" si="3"/>
        <v>0.50393127993260201</v>
      </c>
      <c r="L24" s="72">
        <f>K24*'Assumed Values'!$C$8</f>
        <v>3783.5160497339757</v>
      </c>
      <c r="M24" s="73">
        <f t="shared" si="0"/>
        <v>977.73244470252166</v>
      </c>
      <c r="N24" s="88">
        <f>I24*'Inputs &amp; Outputs'!B$16*'Benefit Calculations'!G24*('Benefit Calculations'!D$4-'Benefit Calculations'!D$5)</f>
        <v>725.3803973755322</v>
      </c>
      <c r="O24" s="89">
        <f t="shared" si="4"/>
        <v>0.2078948739369724</v>
      </c>
      <c r="P24" s="72">
        <f>ABS(O24*'Assumed Values'!$C$7)</f>
        <v>396.03973484993242</v>
      </c>
      <c r="Q24" s="73">
        <f t="shared" si="1"/>
        <v>102.3441933545885</v>
      </c>
      <c r="T24" s="85">
        <f t="shared" si="5"/>
        <v>0.4571583942543776</v>
      </c>
      <c r="U24" s="86">
        <f>T24*'Assumed Values'!$D$8</f>
        <v>0</v>
      </c>
    </row>
    <row r="25" spans="2:21" x14ac:dyDescent="0.25">
      <c r="F25" s="70">
        <f t="shared" si="2"/>
        <v>2039</v>
      </c>
      <c r="G25" s="80">
        <f t="shared" si="6"/>
        <v>119130.08228636328</v>
      </c>
      <c r="H25" s="79">
        <f t="shared" si="8"/>
        <v>9.1016219230000139E-3</v>
      </c>
      <c r="I25" s="70">
        <f>IF(AND(F25&gt;='Inputs &amp; Outputs'!B$13,F25&lt;'Inputs &amp; Outputs'!B$13+'Inputs &amp; Outputs'!B$19),1,0)</f>
        <v>1</v>
      </c>
      <c r="J25" s="71">
        <f>I25*'Inputs &amp; Outputs'!B$16*'Benefit Calculations'!G25*('Benefit Calculations'!C$4-'Benefit Calculations'!C$5)</f>
        <v>1774.3049119915643</v>
      </c>
      <c r="K25" s="89">
        <f t="shared" si="3"/>
        <v>0.50851787191772202</v>
      </c>
      <c r="L25" s="72">
        <f>K25*'Assumed Values'!$C$8</f>
        <v>3817.9521823582568</v>
      </c>
      <c r="M25" s="73">
        <f t="shared" si="0"/>
        <v>922.08541659444336</v>
      </c>
      <c r="N25" s="88">
        <f>I25*'Inputs &amp; Outputs'!B$16*'Benefit Calculations'!G25*('Benefit Calculations'!D$4-'Benefit Calculations'!D$5)</f>
        <v>731.98253550279981</v>
      </c>
      <c r="O25" s="89">
        <f t="shared" si="4"/>
        <v>0.20978705447927648</v>
      </c>
      <c r="P25" s="72">
        <f>ABS(O25*'Assumed Values'!$C$7)</f>
        <v>399.64433878302168</v>
      </c>
      <c r="Q25" s="73">
        <f t="shared" si="1"/>
        <v>96.51933785842651</v>
      </c>
      <c r="T25" s="85">
        <f t="shared" si="5"/>
        <v>0.46131927711780674</v>
      </c>
      <c r="U25" s="86">
        <f>T25*'Assumed Values'!$D$8</f>
        <v>0</v>
      </c>
    </row>
    <row r="26" spans="2:21" x14ac:dyDescent="0.25">
      <c r="F26" s="70">
        <f t="shared" si="2"/>
        <v>2040</v>
      </c>
      <c r="G26" s="80">
        <f t="shared" si="6"/>
        <v>120214.35925498964</v>
      </c>
      <c r="H26" s="79">
        <f t="shared" si="8"/>
        <v>9.1016219230000139E-3</v>
      </c>
      <c r="I26" s="70">
        <f>IF(AND(F26&gt;='Inputs &amp; Outputs'!B$13,F26&lt;'Inputs &amp; Outputs'!B$13+'Inputs &amp; Outputs'!B$19),1,0)</f>
        <v>1</v>
      </c>
      <c r="J26" s="71">
        <f>I26*'Inputs &amp; Outputs'!B$16*'Benefit Calculations'!G26*('Benefit Calculations'!C$4-'Benefit Calculations'!C$5)</f>
        <v>1790.4539644766332</v>
      </c>
      <c r="K26" s="89">
        <f t="shared" si="3"/>
        <v>0.51314620932900568</v>
      </c>
      <c r="L26" s="72">
        <f>K26*'Assumed Values'!$C$8</f>
        <v>3852.7017396421747</v>
      </c>
      <c r="M26" s="73">
        <f t="shared" si="0"/>
        <v>869.60550414672718</v>
      </c>
      <c r="N26" s="88">
        <f>I26*'Inputs &amp; Outputs'!B$16*'Benefit Calculations'!G26*('Benefit Calculations'!D$4-'Benefit Calculations'!D$5)</f>
        <v>738.64476379518521</v>
      </c>
      <c r="O26" s="89">
        <f t="shared" si="4"/>
        <v>0.21169645693348663</v>
      </c>
      <c r="P26" s="72">
        <f>ABS(O26*'Assumed Values'!$C$7)</f>
        <v>403.28175045829204</v>
      </c>
      <c r="Q26" s="73">
        <f t="shared" si="1"/>
        <v>91.026000355020756</v>
      </c>
      <c r="T26" s="85">
        <f t="shared" si="5"/>
        <v>0.46551803076392467</v>
      </c>
      <c r="U26" s="86">
        <f>T26*'Assumed Values'!$D$8</f>
        <v>0</v>
      </c>
    </row>
    <row r="27" spans="2:21" x14ac:dyDescent="0.25">
      <c r="F27" s="70">
        <f t="shared" si="2"/>
        <v>2041</v>
      </c>
      <c r="G27" s="80">
        <f t="shared" si="6"/>
        <v>121308.50490264426</v>
      </c>
      <c r="H27" s="79">
        <f t="shared" si="8"/>
        <v>9.1016219230000139E-3</v>
      </c>
      <c r="I27" s="70">
        <f>IF(AND(F27&gt;='Inputs &amp; Outputs'!B$13,F27&lt;'Inputs &amp; Outputs'!B$13+'Inputs &amp; Outputs'!B$19),1,0)</f>
        <v>1</v>
      </c>
      <c r="J27" s="71">
        <f>I27*'Inputs &amp; Outputs'!B$16*'Benefit Calculations'!G27*('Benefit Calculations'!C$4-'Benefit Calculations'!C$5)</f>
        <v>1806.7499995318362</v>
      </c>
      <c r="K27" s="89">
        <f t="shared" si="3"/>
        <v>0.5178166721175389</v>
      </c>
      <c r="L27" s="72">
        <f>K27*'Assumed Values'!$C$8</f>
        <v>3887.767574258482</v>
      </c>
      <c r="M27" s="73">
        <f t="shared" si="0"/>
        <v>820.11245296040227</v>
      </c>
      <c r="N27" s="88">
        <f>I27*'Inputs &amp; Outputs'!B$16*'Benefit Calculations'!G27*('Benefit Calculations'!D$4-'Benefit Calculations'!D$5)</f>
        <v>745.36762917065266</v>
      </c>
      <c r="O27" s="89">
        <f t="shared" si="4"/>
        <v>0.21362323804693389</v>
      </c>
      <c r="P27" s="72">
        <f>ABS(O27*'Assumed Values'!$C$7)</f>
        <v>406.95226847940904</v>
      </c>
      <c r="Q27" s="73">
        <f t="shared" si="1"/>
        <v>85.84531270599534</v>
      </c>
      <c r="T27" s="85">
        <f t="shared" si="5"/>
        <v>0.4697549998782774</v>
      </c>
      <c r="U27" s="86">
        <f>T27*'Assumed Values'!$D$8</f>
        <v>0</v>
      </c>
    </row>
    <row r="28" spans="2:21" x14ac:dyDescent="0.25">
      <c r="F28" s="70">
        <f t="shared" si="2"/>
        <v>2042</v>
      </c>
      <c r="G28" s="80">
        <f t="shared" si="6"/>
        <v>122412.60905031252</v>
      </c>
      <c r="H28" s="79">
        <f t="shared" si="8"/>
        <v>9.1016219230000139E-3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123526.76233649647</v>
      </c>
      <c r="H29" s="79">
        <f t="shared" si="8"/>
        <v>9.1016219230000139E-3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124651.05622465553</v>
      </c>
      <c r="H30" s="79">
        <f t="shared" si="8"/>
        <v>9.1016219230000139E-3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131615</v>
      </c>
      <c r="H31" s="79">
        <f t="shared" si="8"/>
        <v>9.1016219230000139E-3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132812.90996939564</v>
      </c>
      <c r="H32" s="79">
        <f t="shared" si="8"/>
        <v>9.1016219230000139E-3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134021.72286243053</v>
      </c>
      <c r="H33" s="79">
        <f t="shared" si="8"/>
        <v>9.1016219230000139E-3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135241.53791339346</v>
      </c>
      <c r="H34" s="79">
        <f t="shared" si="8"/>
        <v>9.1016219230000139E-3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136472.45525976626</v>
      </c>
      <c r="H35" s="79">
        <f t="shared" si="8"/>
        <v>9.1016219230000139E-3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137714.57595044418</v>
      </c>
      <c r="H36" s="79">
        <f t="shared" si="8"/>
        <v>9.1016219230000139E-3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32741.253435220959</v>
      </c>
      <c r="K37" s="71">
        <f t="shared" ref="K37:Q37" si="9">SUM(K4:K36)</f>
        <v>9.3836816931928375</v>
      </c>
      <c r="L37" s="74">
        <f t="shared" si="9"/>
        <v>70452.68215249182</v>
      </c>
      <c r="M37" s="75">
        <f t="shared" si="9"/>
        <v>29561.842997302821</v>
      </c>
      <c r="N37" s="88">
        <f t="shared" si="9"/>
        <v>13507.27574673295</v>
      </c>
      <c r="O37" s="88">
        <f t="shared" si="9"/>
        <v>3.8712010949824589</v>
      </c>
      <c r="P37" s="76">
        <f t="shared" si="9"/>
        <v>7374.638085941584</v>
      </c>
      <c r="Q37" s="75">
        <f t="shared" si="9"/>
        <v>3094.3874185892037</v>
      </c>
      <c r="T37" s="85">
        <f>SUM(T4:T36)</f>
        <v>8.5127258931574534</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Jennifer Steen</cp:lastModifiedBy>
  <cp:lastPrinted>2018-04-10T17:15:43Z</cp:lastPrinted>
  <dcterms:created xsi:type="dcterms:W3CDTF">2012-07-25T15:48:32Z</dcterms:created>
  <dcterms:modified xsi:type="dcterms:W3CDTF">2018-10-29T22:04:45Z</dcterms:modified>
</cp:coreProperties>
</file>