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a-vcenter\Conroe_Data\12300\12362 HGAC Submission - Shenandoah\03 Engineering\01 Submittal\02 Application\"/>
    </mc:Choice>
  </mc:AlternateContent>
  <bookViews>
    <workbookView xWindow="0" yWindow="0" windowWidth="25200" windowHeight="1198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8" i="12" l="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<sst xmlns="http://schemas.openxmlformats.org/spreadsheetml/2006/main" count="440" uniqueCount="285">
  <si>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</si>
  <si>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</si>
  <si>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</si>
  <si>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</si>
  <si>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</si>
  <si>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</si>
  <si>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</si>
  <si>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</si>
  <si>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</si>
  <si>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</si>
  <si>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</si>
  <si>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</si>
  <si>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</si>
  <si>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</si>
  <si>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</si>
  <si>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</si>
  <si>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</si>
  <si>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</si>
  <si>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</si>
  <si>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</si>
  <si>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</si>
  <si>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</si>
  <si>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</si>
  <si>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</si>
  <si>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</si>
  <si>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</si>
  <si>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</si>
  <si>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</si>
  <si>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</si>
  <si>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</si>
  <si>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</si>
  <si>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</si>
  <si>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</si>
  <si>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</si>
  <si>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</si>
  <si>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</si>
  <si>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</si>
  <si>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</si>
  <si>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</si>
  <si>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</si>
  <si>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</si>
  <si>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</si>
  <si>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</si>
  <si>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</si>
  <si>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</si>
  <si>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</si>
  <si>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</si>
  <si>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</si>
  <si>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</si>
  <si>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</si>
  <si>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</si>
  <si>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</si>
  <si>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</si>
  <si>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</si>
  <si>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</si>
  <si>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</si>
  <si>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</si>
  <si>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</si>
  <si>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</si>
  <si>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</si>
  <si>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</si>
  <si>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</si>
  <si>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</si>
  <si>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</si>
  <si>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</si>
  <si>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</si>
  <si>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</si>
  <si>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</si>
  <si>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</si>
  <si>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</si>
  <si>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</si>
  <si>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</si>
  <si>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</si>
  <si>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</si>
  <si>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</si>
  <si>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</si>
  <si>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</si>
  <si>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</si>
  <si>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</si>
  <si>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</si>
  <si>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</si>
  <si>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</si>
  <si>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</si>
  <si>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</si>
  <si>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</si>
  <si>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</si>
  <si>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</si>
  <si>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</si>
  <si>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</si>
  <si>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</si>
  <si>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</si>
  <si>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</si>
  <si>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</si>
  <si>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</si>
  <si>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</si>
  <si>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</si>
  <si>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</si>
  <si>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</si>
  <si>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</si>
  <si>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</si>
  <si>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</si>
  <si>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</si>
  <si>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</si>
  <si>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</si>
  <si>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</si>
  <si>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</si>
  <si>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</si>
  <si>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</si>
  <si>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</si>
  <si>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</si>
  <si>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</si>
  <si>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</si>
  <si>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</si>
  <si>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</si>
  <si>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</si>
  <si>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</si>
  <si>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</si>
  <si>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</si>
  <si>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</si>
  <si>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</si>
  <si>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</si>
  <si>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</si>
  <si>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</si>
  <si>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</si>
  <si>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</si>
  <si>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</si>
  <si>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</si>
  <si>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</si>
  <si>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</si>
  <si>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</si>
  <si>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</si>
  <si>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</si>
  <si>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</si>
  <si>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</si>
  <si>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</si>
  <si>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</si>
  <si>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</si>
  <si>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</si>
  <si>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</si>
  <si>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</si>
  <si>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</si>
  <si>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</si>
  <si>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</si>
  <si>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</si>
  <si>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</si>
  <si>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</si>
  <si>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</si>
  <si>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</si>
  <si>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</si>
  <si>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</si>
  <si>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</si>
  <si>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</si>
  <si>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</si>
  <si>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</si>
  <si>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</si>
  <si>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</si>
  <si>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</si>
  <si>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</si>
  <si>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</si>
  <si>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</si>
  <si>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</si>
  <si>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</si>
  <si>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</si>
  <si>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</si>
  <si>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</si>
  <si>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</si>
  <si>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</si>
  <si>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</si>
  <si>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</si>
  <si>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</si>
  <si>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</si>
  <si>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</si>
  <si>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</si>
  <si>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</si>
  <si>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</si>
  <si>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</si>
  <si>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</si>
  <si>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</si>
  <si>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</si>
  <si>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</si>
  <si>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</si>
  <si>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</si>
  <si>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</si>
  <si>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</si>
  <si>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</si>
  <si>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</si>
  <si>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</si>
  <si>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</si>
  <si>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</si>
  <si>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</si>
  <si>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</si>
  <si>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</si>
  <si>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</si>
  <si>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</si>
  <si>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</si>
  <si>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</si>
  <si>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</si>
  <si>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</si>
  <si>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</si>
  <si>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</si>
  <si>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</si>
  <si>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</si>
  <si>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</si>
  <si>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</si>
  <si>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</si>
  <si>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</si>
  <si>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</si>
  <si>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</si>
  <si>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</si>
  <si>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</si>
  <si>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</si>
  <si>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</si>
  <si>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</si>
  <si>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</si>
  <si>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</si>
  <si>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</si>
  <si>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</si>
  <si>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</si>
  <si>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</si>
  <si>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</si>
  <si>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</si>
  <si>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</si>
  <si>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</si>
  <si>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</si>
  <si>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</si>
  <si>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</si>
  <si>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</si>
  <si>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</si>
  <si>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</si>
  <si>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</si>
  <si>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</si>
  <si>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</si>
  <si>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</si>
  <si>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</si>
  <si>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</si>
  <si>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</si>
  <si>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</si>
  <si>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</si>
  <si>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</si>
  <si>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</si>
  <si>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</si>
  <si>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</si>
  <si>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</si>
  <si>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</si>
  <si>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</si>
  <si>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</si>
  <si>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</si>
  <si>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</si>
  <si>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</si>
  <si>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</si>
  <si>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</si>
  <si>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</si>
  <si>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</si>
  <si>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</si>
  <si>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</si>
  <si>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</si>
  <si>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</si>
  <si>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</si>
  <si>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</si>
  <si>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</si>
  <si>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</si>
  <si>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</si>
  <si>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</si>
  <si>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</si>
  <si>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</si>
  <si>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</si>
  <si>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</si>
  <si>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</si>
  <si>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</si>
  <si>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</si>
  <si>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</si>
  <si>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</si>
  <si>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</si>
  <si>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</si>
  <si>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</si>
  <si>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</si>
  <si>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</si>
  <si>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</si>
  <si>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</si>
  <si>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</si>
  <si>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</si>
  <si>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David Memorial Roadway extension</t>
  </si>
  <si>
    <t>David Memorial Roadway</t>
  </si>
  <si>
    <t>existing deadend</t>
  </si>
  <si>
    <t>SH-242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</si>
</sst>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N9" sqref="N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4" zoomScaleNormal="100" workbookViewId="0">
      <selection activeCell="F25" sqref="F25"/>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124</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1.06</v>
      </c>
      <c r="D12" s="95"/>
      <c r="N12" s="180"/>
      <c r="O12" s="180"/>
      <c r="P12" s="180"/>
      <c r="Q12" s="180"/>
      <c r="R12" s="180"/>
      <c r="S12" s="180"/>
    </row>
    <row r="13" spans="2:19" x14ac:dyDescent="0.25">
      <c r="B13" s="4" t="s">
        <v>77</v>
      </c>
      <c r="C13" s="121">
        <v>187</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2022</v>
      </c>
      <c r="D17" s="96"/>
    </row>
    <row r="18" spans="2:13" x14ac:dyDescent="0.25">
      <c r="B18" s="4" t="s">
        <v>259</v>
      </c>
      <c r="C18" s="120" t="s">
        <v>226</v>
      </c>
      <c r="D18" s="26"/>
    </row>
    <row r="19" spans="2:13" x14ac:dyDescent="0.25">
      <c r="B19" s="122" t="s">
        <v>251</v>
      </c>
      <c r="C19" s="174">
        <f>VLOOKUP(C18,'CRF Lookup Table'!C3:F84,2, FALSE)</f>
        <v>203</v>
      </c>
      <c r="D19" s="97"/>
    </row>
    <row r="20" spans="2:13" x14ac:dyDescent="0.25">
      <c r="B20" s="122" t="s">
        <v>102</v>
      </c>
      <c r="C20" s="175">
        <f>VLOOKUP(C18,'CRF Lookup Table'!C3:F84,3, FALSE)</f>
        <v>0.4</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13900</v>
      </c>
      <c r="D25" s="99"/>
      <c r="I25" s="49"/>
    </row>
    <row r="26" spans="2:13" x14ac:dyDescent="0.25">
      <c r="I26" s="49"/>
    </row>
    <row r="27" spans="2:13" x14ac:dyDescent="0.25">
      <c r="B27" s="86" t="s">
        <v>269</v>
      </c>
      <c r="C27" s="87">
        <v>5400</v>
      </c>
      <c r="D27" s="99"/>
      <c r="I27" s="49"/>
    </row>
    <row r="28" spans="2:13" x14ac:dyDescent="0.25">
      <c r="B28" s="86" t="s">
        <v>150</v>
      </c>
      <c r="C28" s="87">
        <v>20706</v>
      </c>
      <c r="D28" s="99"/>
      <c r="I28" s="49"/>
    </row>
    <row r="29" spans="2:13" x14ac:dyDescent="0.25">
      <c r="B29" s="86" t="s">
        <v>270</v>
      </c>
      <c r="C29" s="88">
        <v>10517</v>
      </c>
      <c r="D29" s="69"/>
      <c r="I29" s="49"/>
    </row>
    <row r="30" spans="2:13" x14ac:dyDescent="0.25">
      <c r="B30" s="86" t="s">
        <v>151</v>
      </c>
      <c r="C30" s="88">
        <v>20706</v>
      </c>
      <c r="D30" s="69"/>
      <c r="I30" s="49"/>
    </row>
    <row r="31" spans="2:13" x14ac:dyDescent="0.25">
      <c r="B31" s="86" t="s">
        <v>271</v>
      </c>
      <c r="C31" s="87">
        <v>15110</v>
      </c>
      <c r="D31" s="99"/>
      <c r="H31" s="70"/>
    </row>
    <row r="32" spans="2:13" x14ac:dyDescent="0.25">
      <c r="B32" s="86" t="s">
        <v>152</v>
      </c>
      <c r="C32" s="87">
        <v>20706</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10182.408471779505</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zoomScale="85" zoomScaleNormal="85" workbookViewId="0">
      <selection activeCell="H17" sqref="H1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20344.278575171986</v>
      </c>
      <c r="G4" s="183" t="s">
        <v>260</v>
      </c>
      <c r="H4" s="183"/>
      <c r="I4" s="183"/>
      <c r="J4" s="183"/>
      <c r="L4" s="136"/>
      <c r="M4" s="137">
        <v>2018</v>
      </c>
      <c r="N4" s="138">
        <f>_2018_Volume_ADT</f>
        <v>13900</v>
      </c>
      <c r="O4" s="139" t="s">
        <v>85</v>
      </c>
      <c r="P4" s="140">
        <f>MIN(B12,1)</f>
        <v>0.26079397276151839</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21564.935289682307</v>
      </c>
      <c r="G5" s="184" t="s">
        <v>261</v>
      </c>
      <c r="H5" s="184"/>
      <c r="I5" s="184"/>
      <c r="J5" s="143">
        <f>SUMPRODUCT(Possible_Crash_Reductions,'Value of Statistical Life'!E5:E11)</f>
        <v>840635.47823107149</v>
      </c>
      <c r="L5" s="136"/>
      <c r="M5" s="144">
        <f t="shared" ref="M5:M36" si="1">M4+1</f>
        <v>2019</v>
      </c>
      <c r="N5" s="145">
        <f>N4+(N4*O5)</f>
        <v>15288.739245871118</v>
      </c>
      <c r="O5" s="146">
        <f t="shared" ref="O5:O11" si="2">IF(ISERROR(_2025_2045_Demand_Growth),_2018_2045_Demand_Growth,_2018_2025_Demand_Growth)</f>
        <v>9.9909298264109214E-2</v>
      </c>
      <c r="P5" s="147">
        <f t="shared" ref="P5:P11" si="3">P4*(1+IFERROR(_2018_2025_V_C_Growth,_2018_2045_V_C_Growth))</f>
        <v>0.28684971557163091</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5606883.1753174001</v>
      </c>
      <c r="L6" s="136"/>
      <c r="M6" s="137">
        <f t="shared" si="1"/>
        <v>2020</v>
      </c>
      <c r="N6" s="145">
        <f t="shared" ref="N6:N36" si="6">N5+(N5*O6)</f>
        <v>16816.226455269047</v>
      </c>
      <c r="O6" s="146">
        <f t="shared" si="2"/>
        <v>9.9909298264109214E-2</v>
      </c>
      <c r="P6" s="147">
        <f t="shared" si="3"/>
        <v>0.31550866936165189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18496.323839865327</v>
      </c>
      <c r="O7" s="146">
        <f t="shared" si="2"/>
        <v>9.9909298264109214E-2</v>
      </c>
      <c r="P7" s="147">
        <f t="shared" si="3"/>
        <v>0.34703091911381739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20344.278575171986</v>
      </c>
      <c r="O8" s="146">
        <f t="shared" si="2"/>
        <v>9.9909298264109214E-2</v>
      </c>
      <c r="P8" s="147">
        <f t="shared" si="3"/>
        <v>0.38170253471842774</v>
      </c>
      <c r="Q8" s="148">
        <f t="shared" si="4"/>
        <v>1</v>
      </c>
      <c r="R8" s="37">
        <f>IF(M8=Year_Open_to_Traffic?,Calculations!$J$5,Calculations!R7+(Calculations!R7*Calculations!O8*Q8))</f>
        <v>840635.47823107149</v>
      </c>
      <c r="S8" s="54">
        <f t="shared" si="0"/>
        <v>1</v>
      </c>
      <c r="T8" s="37">
        <f t="shared" si="5"/>
        <v>840.63547823107149</v>
      </c>
      <c r="U8" s="142">
        <f>T8/(1+Real_Discount_Rate)^(Calculations!M8-'Assumed Values'!$C$5)</f>
        <v>641.31678141976602</v>
      </c>
    </row>
    <row r="9" spans="1:21" ht="15.75" x14ac:dyDescent="0.25">
      <c r="A9" s="152" t="s">
        <v>76</v>
      </c>
      <c r="B9" s="153">
        <f>(_2025_Peak_Period_Volume/'Inputs &amp; Outputs'!$C$27)^(1/(2025-2018))-1</f>
        <v>9.9909298264109214E-2</v>
      </c>
      <c r="D9" s="152" t="s">
        <v>137</v>
      </c>
      <c r="E9" s="154">
        <f>IF('Inputs &amp; Outputs'!$C$8='CRASH RATES'!$D$3, VLOOKUP('Inputs &amp; Outputs'!$C$7,'CRASH RATES'!$C$14:$J$21,3,FALSE), VLOOKUP('Inputs &amp; Outputs'!$C$7,'CRASH RATES'!$C$28:$J$35,3,FALSE))</f>
        <v>1.6733669755541722</v>
      </c>
      <c r="F9" s="155"/>
      <c r="L9" s="136"/>
      <c r="M9" s="144">
        <f t="shared" si="1"/>
        <v>2023</v>
      </c>
      <c r="N9" s="145">
        <f t="shared" si="6"/>
        <v>22376.861171306969</v>
      </c>
      <c r="O9" s="146">
        <f t="shared" si="2"/>
        <v>9.9909298264109214E-2</v>
      </c>
      <c r="P9" s="147">
        <f t="shared" si="3"/>
        <v>0.41983816710777766</v>
      </c>
      <c r="Q9" s="148">
        <f t="shared" si="4"/>
        <v>1</v>
      </c>
      <c r="R9" s="37">
        <f>IF(M9=Year_Open_to_Traffic?,Calculations!$J$5,Calculations!R8+(Calculations!R8*Calculations!O9*Q9))</f>
        <v>924622.77895705169</v>
      </c>
      <c r="S9" s="54">
        <f t="shared" si="0"/>
        <v>1</v>
      </c>
      <c r="T9" s="37">
        <f t="shared" si="5"/>
        <v>924.62277895705165</v>
      </c>
      <c r="U9" s="142">
        <f>T9/(1+Real_Discount_Rate)^(Calculations!M9-'Assumed Values'!$C$5)</f>
        <v>659.24326263216062</v>
      </c>
    </row>
    <row r="10" spans="1:21" ht="15.75" x14ac:dyDescent="0.25">
      <c r="A10" s="152" t="s">
        <v>106</v>
      </c>
      <c r="B10" s="153">
        <f>(_2045_Peak_Period_Volume/_2025_Peak_Period_Volume)^(1/(2045-2025))-1</f>
        <v>1.8283319203286741E-2</v>
      </c>
      <c r="D10" s="152" t="s">
        <v>138</v>
      </c>
      <c r="E10" s="154">
        <f>IF('Inputs &amp; Outputs'!$C$8='CRASH RATES'!$D$3, VLOOKUP('Inputs &amp; Outputs'!$C$7,'CRASH RATES'!$C$14:$J$21,4,FALSE), VLOOKUP('Inputs &amp; Outputs'!$C$7,'CRASH RATES'!$C$28:$J$35,4,FALSE))</f>
        <v>10.467444485381417</v>
      </c>
      <c r="F10" s="155"/>
      <c r="L10" s="136"/>
      <c r="M10" s="137">
        <f t="shared" si="1"/>
        <v>2024</v>
      </c>
      <c r="N10" s="145">
        <f t="shared" si="6"/>
        <v>24612.51766828564</v>
      </c>
      <c r="O10" s="146">
        <f t="shared" si="2"/>
        <v>9.9909298264109214E-2</v>
      </c>
      <c r="P10" s="147">
        <f t="shared" si="3"/>
        <v>0.46178390376800554</v>
      </c>
      <c r="Q10" s="148">
        <f t="shared" si="4"/>
        <v>1</v>
      </c>
      <c r="R10" s="37">
        <f>IF(M10=Year_Open_to_Traffic?,Calculations!$J$5,Calculations!R9+(Calculations!R9*Calculations!O10*Q10))</f>
        <v>1017001.1919616613</v>
      </c>
      <c r="S10" s="54">
        <f t="shared" si="0"/>
        <v>1</v>
      </c>
      <c r="T10" s="37">
        <f t="shared" si="5"/>
        <v>1017.0011919616613</v>
      </c>
      <c r="U10" s="142">
        <f>T10/(1+Real_Discount_Rate)^(Calculations!M10-'Assumed Values'!$C$5)</f>
        <v>677.67083587577736</v>
      </c>
    </row>
    <row r="11" spans="1:21" ht="15.75" x14ac:dyDescent="0.25">
      <c r="A11" s="152" t="s">
        <v>107</v>
      </c>
      <c r="B11" s="153">
        <f>(_2045_Peak_Period_Volume/'Inputs &amp; Outputs'!$C$27)^(1/(2045-2018))-1</f>
        <v>3.8845031068466263E-2</v>
      </c>
      <c r="D11" s="152" t="s">
        <v>139</v>
      </c>
      <c r="E11" s="154">
        <f>IF('Inputs &amp; Outputs'!$C$8='CRASH RATES'!$D$3, VLOOKUP('Inputs &amp; Outputs'!$C$7,'CRASH RATES'!$C$14:$J$21,5,FALSE), VLOOKUP('Inputs &amp; Outputs'!$C$7,'CRASH RATES'!$C$28:$J$35,5,FALSE))</f>
        <v>41.371328204126556</v>
      </c>
      <c r="F11" s="155"/>
      <c r="L11" s="136"/>
      <c r="M11" s="144">
        <f t="shared" si="1"/>
        <v>2025</v>
      </c>
      <c r="N11" s="145">
        <f t="shared" si="6"/>
        <v>27071.537037037047</v>
      </c>
      <c r="O11" s="146">
        <f t="shared" si="2"/>
        <v>9.9909298264109214E-2</v>
      </c>
      <c r="P11" s="147">
        <f t="shared" si="3"/>
        <v>0.50792040954312789</v>
      </c>
      <c r="Q11" s="148">
        <f t="shared" si="4"/>
        <v>1</v>
      </c>
      <c r="R11" s="37">
        <f>IF(M11=Year_Open_to_Traffic?,Calculations!$J$5,Calculations!R10+(Calculations!R10*Calculations!O11*Q11))</f>
        <v>1118609.0673843136</v>
      </c>
      <c r="S11" s="54">
        <f t="shared" si="0"/>
        <v>1</v>
      </c>
      <c r="T11" s="37">
        <f t="shared" si="5"/>
        <v>1118.6090673843134</v>
      </c>
      <c r="U11" s="142">
        <f>T11/(1+Real_Discount_Rate)^(Calculations!M11-'Assumed Values'!$C$5)</f>
        <v>696.61350798334433</v>
      </c>
    </row>
    <row r="12" spans="1:21" ht="15.75" x14ac:dyDescent="0.25">
      <c r="A12" s="152" t="s">
        <v>75</v>
      </c>
      <c r="B12" s="156">
        <f>'Inputs &amp; Outputs'!C27/_2018_Peak_Period_Capacity</f>
        <v>0.26079397276151839</v>
      </c>
      <c r="D12" s="152" t="s">
        <v>140</v>
      </c>
      <c r="E12" s="154">
        <f>IF('Inputs &amp; Outputs'!$C$8='CRASH RATES'!$D$3, VLOOKUP('Inputs &amp; Outputs'!$C$7,'CRASH RATES'!$C$14:$J$21,6,FALSE), VLOOKUP('Inputs &amp; Outputs'!$C$7,'CRASH RATES'!$C$28:$J$35,6,FALSE))</f>
        <v>63.089495333659421</v>
      </c>
      <c r="F12" s="155"/>
      <c r="L12" s="136"/>
      <c r="M12" s="137">
        <f t="shared" si="1"/>
        <v>2026</v>
      </c>
      <c r="N12" s="145">
        <f t="shared" si="6"/>
        <v>27566.494590008795</v>
      </c>
      <c r="O12" s="146">
        <f t="shared" ref="O12:O36" si="7">IFERROR(_2025_2045_Demand_Growth,_2018_2045_Demand_Growth)</f>
        <v>1.8283319203286741E-2</v>
      </c>
      <c r="P12" s="147">
        <f t="shared" ref="P12:P36" si="8">P11*(1+IFERROR(_2025_2040_V_C_Growth,_2018_2045_V_C_Growth))</f>
        <v>0.5172068805206691</v>
      </c>
      <c r="Q12" s="148">
        <f t="shared" si="4"/>
        <v>1</v>
      </c>
      <c r="R12" s="37">
        <f>IF(M12=Year_Open_to_Traffic?,Calculations!$J$5,Calculations!R11+(Calculations!R11*Calculations!O12*Q12))</f>
        <v>1139060.954026992</v>
      </c>
      <c r="S12" s="54">
        <f t="shared" si="0"/>
        <v>1</v>
      </c>
      <c r="T12" s="37">
        <f t="shared" si="5"/>
        <v>1139.060954026992</v>
      </c>
      <c r="U12" s="142">
        <f>T12/(1+Real_Discount_Rate)^(Calculations!M12-'Assumed Values'!$C$5)</f>
        <v>662.94384589824801</v>
      </c>
    </row>
    <row r="13" spans="1:21" ht="15.75" x14ac:dyDescent="0.25">
      <c r="A13" s="152" t="s">
        <v>74</v>
      </c>
      <c r="B13" s="156">
        <f>_2025_Peak_Period_Volume/_2025_Peak_Period_Capacity</f>
        <v>0.50792040954312756</v>
      </c>
      <c r="D13" s="152" t="s">
        <v>141</v>
      </c>
      <c r="E13" s="154">
        <f>IF('Inputs &amp; Outputs'!$C$8='CRASH RATES'!$D$3, VLOOKUP('Inputs &amp; Outputs'!$C$7,'CRASH RATES'!$C$14:$J$21,7,FALSE), VLOOKUP('Inputs &amp; Outputs'!$C$7,'CRASH RATES'!$C$28:$J$35,7,FALSE))</f>
        <v>590.98337079199359</v>
      </c>
      <c r="F13" s="155"/>
      <c r="L13" s="136"/>
      <c r="M13" s="144">
        <f t="shared" si="1"/>
        <v>2027</v>
      </c>
      <c r="N13" s="145">
        <f t="shared" si="6"/>
        <v>28070.501609913605</v>
      </c>
      <c r="O13" s="146">
        <f t="shared" si="7"/>
        <v>1.8283319203286741E-2</v>
      </c>
      <c r="P13" s="147">
        <f t="shared" si="8"/>
        <v>0.52666313901136474</v>
      </c>
      <c r="Q13" s="148">
        <f t="shared" si="4"/>
        <v>1</v>
      </c>
      <c r="R13" s="37">
        <f>IF(M13=Year_Open_to_Traffic?,Calculations!$J$5,Calculations!R12+(Calculations!R12*Calculations!O13*Q13))</f>
        <v>1159886.7690414677</v>
      </c>
      <c r="S13" s="54">
        <f t="shared" si="0"/>
        <v>1</v>
      </c>
      <c r="T13" s="37">
        <f t="shared" si="5"/>
        <v>1159.8867690414677</v>
      </c>
      <c r="U13" s="142">
        <f>T13/(1+Real_Discount_Rate)^(Calculations!M13-'Assumed Values'!$C$5)</f>
        <v>630.90155125856086</v>
      </c>
    </row>
    <row r="14" spans="1:21" ht="15.75" x14ac:dyDescent="0.25">
      <c r="A14" s="152" t="s">
        <v>148</v>
      </c>
      <c r="B14" s="156">
        <f>_2045_Peak_Period_Volume/_2045_Peak_Period_Capacity</f>
        <v>0.72974017193084129</v>
      </c>
      <c r="D14" s="152" t="s">
        <v>142</v>
      </c>
      <c r="E14" s="154">
        <f>IF('Inputs &amp; Outputs'!$C$8='CRASH RATES'!$D$3, VLOOKUP('Inputs &amp; Outputs'!$C$7,'CRASH RATES'!$C$14:$J$21,8,FALSE), VLOOKUP('Inputs &amp; Outputs'!$C$7,'CRASH RATES'!$C$28:$J$35,8,FALSE))</f>
        <v>22.750670157002467</v>
      </c>
      <c r="F14" s="155"/>
      <c r="L14" s="136"/>
      <c r="M14" s="137">
        <f>M13+1</f>
        <v>2028</v>
      </c>
      <c r="N14" s="145">
        <f t="shared" si="6"/>
        <v>28583.72355104403</v>
      </c>
      <c r="O14" s="146">
        <f t="shared" si="7"/>
        <v>1.8283319203286741E-2</v>
      </c>
      <c r="P14" s="147">
        <f>P13*(1+IFERROR(_2025_2040_V_C_Growth,_2018_2045_V_C_Growth))</f>
        <v>0.53629228929451467</v>
      </c>
      <c r="Q14" s="148">
        <f t="shared" si="4"/>
        <v>1</v>
      </c>
      <c r="R14" s="37">
        <f>IF(M14=Year_Open_to_Traffic?,Calculations!$J$5,Calculations!R13+(Calculations!R13*Calculations!O14*Q14))</f>
        <v>1181093.3490795218</v>
      </c>
      <c r="S14" s="54">
        <f t="shared" si="0"/>
        <v>1</v>
      </c>
      <c r="T14" s="37">
        <f t="shared" si="5"/>
        <v>1181.0933490795219</v>
      </c>
      <c r="U14" s="142">
        <f>T14/(1+Real_Discount_Rate)^(Calculations!M14-'Assumed Values'!$C$5)</f>
        <v>600.40796794959806</v>
      </c>
    </row>
    <row r="15" spans="1:21" ht="15.75" x14ac:dyDescent="0.25">
      <c r="A15" s="152" t="s">
        <v>80</v>
      </c>
      <c r="B15" s="153">
        <f>(B13/B12)^(1/(2025-2018))-1</f>
        <v>9.9909298264109214E-2</v>
      </c>
      <c r="L15" s="136"/>
      <c r="M15" s="144">
        <f>M14+1</f>
        <v>2029</v>
      </c>
      <c r="N15" s="145">
        <f t="shared" si="6"/>
        <v>29106.328892746271</v>
      </c>
      <c r="O15" s="146">
        <f t="shared" si="7"/>
        <v>1.8283319203286741E-2</v>
      </c>
      <c r="P15" s="147">
        <f>P14*(1+IFERROR(_2025_2040_V_C_Growth,_2018_2045_V_C_Growth))</f>
        <v>0.54609749240594785</v>
      </c>
      <c r="Q15" s="148">
        <f t="shared" si="4"/>
        <v>1</v>
      </c>
      <c r="R15" s="37">
        <f>IF(M15=Year_Open_to_Traffic?,Calculations!$J$5,Calculations!R14+(Calculations!R14*Calculations!O15*Q15))</f>
        <v>1202687.6557896216</v>
      </c>
      <c r="S15" s="54">
        <f t="shared" si="0"/>
        <v>1</v>
      </c>
      <c r="T15" s="37">
        <f t="shared" si="5"/>
        <v>1202.6876557896217</v>
      </c>
      <c r="U15" s="142">
        <f>T15/(1+Real_Discount_Rate)^(Calculations!M15-'Assumed Values'!$C$5)</f>
        <v>571.38824156992268</v>
      </c>
    </row>
    <row r="16" spans="1:21" ht="15.75" x14ac:dyDescent="0.25">
      <c r="A16" s="152" t="s">
        <v>108</v>
      </c>
      <c r="B16" s="153">
        <f>(B14/B13)^(1/(2045-2025))-1</f>
        <v>1.8283319203286963E-2</v>
      </c>
      <c r="D16" s="157" t="s">
        <v>136</v>
      </c>
      <c r="E16" s="151"/>
      <c r="L16" s="136"/>
      <c r="M16" s="137">
        <f t="shared" si="1"/>
        <v>2030</v>
      </c>
      <c r="N16" s="145">
        <f t="shared" si="6"/>
        <v>29638.489194728198</v>
      </c>
      <c r="O16" s="146">
        <f t="shared" si="7"/>
        <v>1.8283319203286741E-2</v>
      </c>
      <c r="P16" s="147">
        <f t="shared" si="8"/>
        <v>0.55608196717572034</v>
      </c>
      <c r="Q16" s="148">
        <f t="shared" si="4"/>
        <v>1</v>
      </c>
      <c r="R16" s="37">
        <f>IF(M16=Year_Open_to_Traffic?,Calculations!$J$5,Calculations!R15+(Calculations!R15*Calculations!O16*Q16))</f>
        <v>1224676.7781022759</v>
      </c>
      <c r="S16" s="54">
        <f t="shared" si="0"/>
        <v>1</v>
      </c>
      <c r="T16" s="37">
        <f t="shared" si="5"/>
        <v>1224.6767781022759</v>
      </c>
      <c r="U16" s="142">
        <f>T16/(1+Real_Discount_Rate)^(Calculations!M16-'Assumed Values'!$C$5)</f>
        <v>543.77113568182267</v>
      </c>
    </row>
    <row r="17" spans="1:21" ht="15.75" x14ac:dyDescent="0.25">
      <c r="A17" s="152" t="s">
        <v>109</v>
      </c>
      <c r="B17" s="153">
        <f>(B14/B12)^(1/(2045-2018))-1</f>
        <v>3.8845031068466263E-2</v>
      </c>
      <c r="D17" s="152" t="s">
        <v>89</v>
      </c>
      <c r="E17" s="158">
        <f>($E$6*Death_Rate)/100000000</f>
        <v>9.3823731413664513E-2</v>
      </c>
      <c r="L17" s="136"/>
      <c r="M17" s="144">
        <f t="shared" si="1"/>
        <v>2031</v>
      </c>
      <c r="N17" s="145">
        <f t="shared" si="6"/>
        <v>30180.379153378577</v>
      </c>
      <c r="O17" s="146">
        <f t="shared" si="7"/>
        <v>1.8283319203286741E-2</v>
      </c>
      <c r="P17" s="147">
        <f t="shared" si="8"/>
        <v>0.56624899128478579</v>
      </c>
      <c r="Q17" s="148">
        <f t="shared" si="4"/>
        <v>1</v>
      </c>
      <c r="R17" s="37">
        <f>IF(M17=Year_Open_to_Traffic?,Calculations!$J$5,Calculations!R16+(Calculations!R16*Calculations!O17*Q17))</f>
        <v>1247067.9345571727</v>
      </c>
      <c r="S17" s="54">
        <f t="shared" si="0"/>
        <v>1</v>
      </c>
      <c r="T17" s="37">
        <f t="shared" si="5"/>
        <v>1247.0679345571727</v>
      </c>
      <c r="U17" s="142">
        <f>T17/(1+Real_Discount_Rate)^(Calculations!M17-'Assumed Values'!$C$5)</f>
        <v>517.48885694301612</v>
      </c>
    </row>
    <row r="18" spans="1:21" ht="15.75" x14ac:dyDescent="0.25">
      <c r="D18" s="152" t="s">
        <v>94</v>
      </c>
      <c r="E18" s="158">
        <f>($E$6*Incap_Injry_Rate)/100000000</f>
        <v>0.58689738373653966</v>
      </c>
      <c r="L18" s="136"/>
      <c r="M18" s="137">
        <f t="shared" si="1"/>
        <v>2032</v>
      </c>
      <c r="N18" s="145">
        <f t="shared" si="6"/>
        <v>30732.176659116019</v>
      </c>
      <c r="O18" s="146">
        <f t="shared" si="7"/>
        <v>1.8283319203286741E-2</v>
      </c>
      <c r="P18" s="147">
        <f t="shared" si="8"/>
        <v>0.57660190234098474</v>
      </c>
      <c r="Q18" s="148">
        <f t="shared" si="4"/>
        <v>1</v>
      </c>
      <c r="R18" s="37">
        <f>IF(M18=Year_Open_to_Traffic?,Calculations!$J$5,Calculations!R17+(Calculations!R17*Calculations!O18*Q18))</f>
        <v>1269868.4756728651</v>
      </c>
      <c r="S18" s="54">
        <f t="shared" si="0"/>
        <v>1</v>
      </c>
      <c r="T18" s="37">
        <f t="shared" si="5"/>
        <v>1269.8684756728651</v>
      </c>
      <c r="U18" s="142">
        <f>T18/(1+Real_Discount_Rate)^(Calculations!M18-'Assumed Values'!$C$5)</f>
        <v>492.47688869032652</v>
      </c>
    </row>
    <row r="19" spans="1:21" ht="15.75" x14ac:dyDescent="0.25">
      <c r="D19" s="152" t="s">
        <v>93</v>
      </c>
      <c r="E19" s="158">
        <f>($E$6*Nonincap_Injry_Rate)/100000000</f>
        <v>2.3196420404825142</v>
      </c>
      <c r="L19" s="136"/>
      <c r="M19" s="144">
        <f t="shared" si="1"/>
        <v>2033</v>
      </c>
      <c r="N19" s="145">
        <f t="shared" si="6"/>
        <v>31294.062854786436</v>
      </c>
      <c r="O19" s="146">
        <f t="shared" si="7"/>
        <v>1.8283319203286741E-2</v>
      </c>
      <c r="P19" s="147">
        <f t="shared" si="8"/>
        <v>0.58714409897470743</v>
      </c>
      <c r="Q19" s="148">
        <f t="shared" si="4"/>
        <v>1</v>
      </c>
      <c r="R19" s="37">
        <f>IF(M19=Year_Open_to_Traffic?,Calculations!$J$5,Calculations!R18+(Calculations!R18*Calculations!O19*Q19))</f>
        <v>1293085.8863597831</v>
      </c>
      <c r="S19" s="54">
        <f t="shared" si="0"/>
        <v>1</v>
      </c>
      <c r="T19" s="37">
        <f t="shared" si="5"/>
        <v>1293.0858863597832</v>
      </c>
      <c r="U19" s="142">
        <f>T19/(1+Real_Discount_Rate)^(Calculations!M19-'Assumed Values'!$C$5)</f>
        <v>468.67383256681603</v>
      </c>
    </row>
    <row r="20" spans="1:21" ht="15.75" x14ac:dyDescent="0.25">
      <c r="D20" s="152" t="s">
        <v>92</v>
      </c>
      <c r="E20" s="158">
        <f>($E$6*Poss_Injry_Rate/100000000)</f>
        <v>3.5373542992556066</v>
      </c>
      <c r="L20" s="136"/>
      <c r="M20" s="137">
        <f t="shared" si="1"/>
        <v>2034</v>
      </c>
      <c r="N20" s="145">
        <f t="shared" si="6"/>
        <v>31866.222195128215</v>
      </c>
      <c r="O20" s="146">
        <f t="shared" si="7"/>
        <v>1.8283319203286741E-2</v>
      </c>
      <c r="P20" s="147">
        <f t="shared" si="8"/>
        <v>0.5978790419545883</v>
      </c>
      <c r="Q20" s="148">
        <f t="shared" si="4"/>
        <v>1</v>
      </c>
      <c r="R20" s="37">
        <f>IF(M20=Year_Open_to_Traffic?,Calculations!$J$5,Calculations!R19+(Calculations!R19*Calculations!O20*Q20))</f>
        <v>1316727.7883773639</v>
      </c>
      <c r="S20" s="54">
        <f t="shared" si="0"/>
        <v>1</v>
      </c>
      <c r="T20" s="37">
        <f t="shared" si="5"/>
        <v>1316.7277883773638</v>
      </c>
      <c r="U20" s="142">
        <f>T20/(1+Real_Discount_Rate)^(Calculations!M20-'Assumed Values'!$C$5)</f>
        <v>446.02125780361018</v>
      </c>
    </row>
    <row r="21" spans="1:21" ht="15.75" x14ac:dyDescent="0.25">
      <c r="D21" s="152" t="s">
        <v>91</v>
      </c>
      <c r="E21" s="158">
        <f>($E$6*Non_Injry_Rate)/100000000</f>
        <v>33.135747185859934</v>
      </c>
      <c r="L21" s="136"/>
      <c r="M21" s="144">
        <f>M20+1</f>
        <v>2035</v>
      </c>
      <c r="N21" s="145">
        <f t="shared" si="6"/>
        <v>32448.842507324604</v>
      </c>
      <c r="O21" s="146">
        <f t="shared" si="7"/>
        <v>1.8283319203286741E-2</v>
      </c>
      <c r="P21" s="147">
        <f>P20*(1+IFERROR(_2025_2040_V_C_Growth,_2018_2045_V_C_Growth))</f>
        <v>0.60881025532359945</v>
      </c>
      <c r="Q21" s="148">
        <f t="shared" si="4"/>
        <v>1</v>
      </c>
      <c r="R21" s="37">
        <f>IF(M21=Year_Open_to_Traffic?,Calculations!$J$5,Calculations!R20+(Calculations!R20*Calculations!O21*Q21))</f>
        <v>1340801.9428361051</v>
      </c>
      <c r="S21" s="54">
        <f t="shared" si="0"/>
        <v>1</v>
      </c>
      <c r="T21" s="37">
        <f t="shared" si="5"/>
        <v>1340.8019428361051</v>
      </c>
      <c r="U21" s="142">
        <f>T21/(1+Real_Discount_Rate)^(Calculations!M21-'Assumed Values'!$C$5)</f>
        <v>424.46355778643465</v>
      </c>
    </row>
    <row r="22" spans="1:21" ht="15.75" x14ac:dyDescent="0.25">
      <c r="D22" s="152" t="s">
        <v>90</v>
      </c>
      <c r="E22" s="158">
        <f>($E$6*Unkn_Injry_Rate)/100000000</f>
        <v>1.2756034973049282</v>
      </c>
      <c r="L22" s="136"/>
      <c r="M22" s="137">
        <f>M21+1</f>
        <v>2036</v>
      </c>
      <c r="N22" s="145">
        <f t="shared" si="6"/>
        <v>33042.115052663197</v>
      </c>
      <c r="O22" s="146">
        <f t="shared" si="7"/>
        <v>1.8283319203286741E-2</v>
      </c>
      <c r="P22" s="147">
        <f t="shared" si="8"/>
        <v>0.61994132755591547</v>
      </c>
      <c r="Q22" s="148">
        <f t="shared" si="4"/>
        <v>1</v>
      </c>
      <c r="R22" s="37">
        <f>IF(M22=Year_Open_to_Traffic?,Calculations!$J$5,Calculations!R21+(Calculations!R21*Calculations!O22*Q22))</f>
        <v>1365316.2527453646</v>
      </c>
      <c r="S22" s="54">
        <f t="shared" si="0"/>
        <v>1</v>
      </c>
      <c r="T22" s="37">
        <f t="shared" si="5"/>
        <v>1365.3162527453646</v>
      </c>
      <c r="U22" s="142">
        <f>T22/(1+Real_Discount_Rate)^(Calculations!M22-'Assumed Values'!$C$5)</f>
        <v>403.94781355477267</v>
      </c>
    </row>
    <row r="23" spans="1:21" ht="15.75" x14ac:dyDescent="0.25">
      <c r="L23" s="136"/>
      <c r="M23" s="144">
        <f t="shared" si="1"/>
        <v>2037</v>
      </c>
      <c r="N23" s="145">
        <f t="shared" si="6"/>
        <v>33646.234589322761</v>
      </c>
      <c r="O23" s="146">
        <f t="shared" si="7"/>
        <v>1.8283319203286741E-2</v>
      </c>
      <c r="P23" s="147">
        <f t="shared" si="8"/>
        <v>0.63127591273492978</v>
      </c>
      <c r="Q23" s="148">
        <f t="shared" si="4"/>
        <v>1</v>
      </c>
      <c r="R23" s="37">
        <f>IF(M23=Year_Open_to_Traffic?,Calculations!$J$5,Calculations!R22+(Calculations!R22*Calculations!O23*Q23))</f>
        <v>1390278.7656077433</v>
      </c>
      <c r="S23" s="54">
        <f t="shared" si="0"/>
        <v>1</v>
      </c>
      <c r="T23" s="37">
        <f t="shared" si="5"/>
        <v>1390.2787656077433</v>
      </c>
      <c r="U23" s="142">
        <f>T23/(1+Real_Discount_Rate)^(Calculations!M23-'Assumed Values'!$C$5)</f>
        <v>384.42366389856471</v>
      </c>
    </row>
    <row r="24" spans="1:21" ht="15.75" x14ac:dyDescent="0.25">
      <c r="L24" s="136"/>
      <c r="M24" s="137">
        <f t="shared" si="1"/>
        <v>2038</v>
      </c>
      <c r="N24" s="145">
        <f t="shared" si="6"/>
        <v>34261.39943630802</v>
      </c>
      <c r="O24" s="146">
        <f t="shared" si="7"/>
        <v>1.8283319203286741E-2</v>
      </c>
      <c r="P24" s="147">
        <f t="shared" si="8"/>
        <v>0.64281773175280887</v>
      </c>
      <c r="Q24" s="148">
        <f t="shared" si="4"/>
        <v>1</v>
      </c>
      <c r="R24" s="37">
        <f>IF(M24=Year_Open_to_Traffic?,Calculations!$J$5,Calculations!R23+(Calculations!R23*Calculations!O24*Q24))</f>
        <v>1415697.676060901</v>
      </c>
      <c r="S24" s="54">
        <f t="shared" si="0"/>
        <v>1</v>
      </c>
      <c r="T24" s="37">
        <f t="shared" si="5"/>
        <v>1415.6976760609011</v>
      </c>
      <c r="U24" s="142">
        <f>T24/(1+Real_Discount_Rate)^(Calculations!M24-'Assumed Values'!$C$5)</f>
        <v>365.84318173356939</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34887.811538553346</v>
      </c>
      <c r="O25" s="146">
        <f t="shared" si="7"/>
        <v>1.8283319203286741E-2</v>
      </c>
      <c r="P25" s="147">
        <f t="shared" si="8"/>
        <v>0.65457057353197834</v>
      </c>
      <c r="Q25" s="148">
        <f t="shared" si="4"/>
        <v>1</v>
      </c>
      <c r="R25" s="37">
        <f>IF(M25=Year_Open_to_Traffic?,Calculations!$J$5,Calculations!R24+(Calculations!R24*Calculations!O25*Q25))</f>
        <v>1441581.3285676737</v>
      </c>
      <c r="S25" s="54">
        <f t="shared" si="0"/>
        <v>1</v>
      </c>
      <c r="T25" s="37">
        <f t="shared" si="5"/>
        <v>1441.5813285676736</v>
      </c>
      <c r="U25" s="142">
        <f>T25/(1+Real_Discount_Rate)^(Calculations!M25-'Assumed Values'!$C$5)</f>
        <v>348.16075645191609</v>
      </c>
    </row>
    <row r="26" spans="1:21" ht="15.75" x14ac:dyDescent="0.25">
      <c r="A26" s="181"/>
      <c r="B26" s="181"/>
      <c r="D26" s="160">
        <f>Calculations!E17</f>
        <v>9.3823731413664513E-2</v>
      </c>
      <c r="E26" s="160">
        <f>Calculations!E18</f>
        <v>0.58689738373653966</v>
      </c>
      <c r="F26" s="160">
        <f>Calculations!E19</f>
        <v>2.3196420404825142</v>
      </c>
      <c r="G26" s="160">
        <f>Calculations!E20</f>
        <v>3.5373542992556066</v>
      </c>
      <c r="H26" s="160">
        <f>Calculations!E21</f>
        <v>33.135747185859934</v>
      </c>
      <c r="I26" s="160">
        <f>Calculations!E22</f>
        <v>1.2756034973049282</v>
      </c>
      <c r="J26" s="182"/>
      <c r="L26" s="136"/>
      <c r="M26" s="137">
        <f t="shared" si="1"/>
        <v>2040</v>
      </c>
      <c r="N26" s="145">
        <f t="shared" si="6"/>
        <v>35525.676533216829</v>
      </c>
      <c r="O26" s="146">
        <f t="shared" si="7"/>
        <v>1.8283319203286741E-2</v>
      </c>
      <c r="P26" s="147">
        <f t="shared" si="8"/>
        <v>0.66653829626894212</v>
      </c>
      <c r="Q26" s="148">
        <f t="shared" si="4"/>
        <v>1</v>
      </c>
      <c r="R26" s="37">
        <f>IF(M26=Year_Open_to_Traffic?,Calculations!$J$5,Calculations!R25+(Calculations!R25*Calculations!O26*Q26))</f>
        <v>1467938.2201553746</v>
      </c>
      <c r="S26" s="54">
        <f t="shared" si="0"/>
        <v>1</v>
      </c>
      <c r="T26" s="37">
        <f t="shared" si="5"/>
        <v>1467.9382201553747</v>
      </c>
      <c r="U26" s="142">
        <f>T26/(1+Real_Discount_Rate)^(Calculations!M26-'Assumed Values'!$C$5)</f>
        <v>331.3329819590507</v>
      </c>
    </row>
    <row r="27" spans="1:21" ht="15.75" x14ac:dyDescent="0.25">
      <c r="A27" s="161" t="s">
        <v>95</v>
      </c>
      <c r="B27" s="162" t="s">
        <v>96</v>
      </c>
      <c r="D27" s="163">
        <f>D$26*'Value of Statistical Life'!D17*Appropriate_Crash_Reduction_Factor</f>
        <v>0</v>
      </c>
      <c r="E27" s="163">
        <f>E$26*'Value of Statistical Life'!E17*Appropriate_Crash_Reduction_Factor</f>
        <v>8.0686652316099474E-3</v>
      </c>
      <c r="F27" s="163">
        <f>F$26*'Value of Statistical Life'!F17*Appropriate_Crash_Reduction_Factor</f>
        <v>7.7448208447630187E-2</v>
      </c>
      <c r="G27" s="163">
        <f>G$26*'Value of Statistical Life'!G17*Appropriate_Crash_Reduction_Factor</f>
        <v>0.33161989084661458</v>
      </c>
      <c r="H27" s="163">
        <f>H$26*'Value of Statistical Life'!H17*Appropriate_Crash_Reduction_Factor</f>
        <v>12.264732920385454</v>
      </c>
      <c r="I27" s="163">
        <f>I$26*'Value of Statistical Life'!I17*Appropriate_Crash_Reduction_Factor</f>
        <v>0.22285303339316018</v>
      </c>
      <c r="J27" s="163">
        <f t="shared" ref="J27:J33" si="9">SUM(D27:I27)</f>
        <v>12.90472271830447</v>
      </c>
      <c r="K27" s="164"/>
      <c r="L27" s="136"/>
      <c r="M27" s="144">
        <f t="shared" si="1"/>
        <v>2041</v>
      </c>
      <c r="N27" s="145">
        <f t="shared" si="6"/>
        <v>36175.203817186346</v>
      </c>
      <c r="O27" s="146">
        <f t="shared" si="7"/>
        <v>1.8283319203286741E-2</v>
      </c>
      <c r="P27" s="147">
        <f t="shared" si="8"/>
        <v>0.67872482870084228</v>
      </c>
      <c r="Q27" s="148">
        <f t="shared" si="4"/>
        <v>1</v>
      </c>
      <c r="R27" s="37">
        <f>IF(M27=Year_Open_to_Traffic?,Calculations!$J$5,Calculations!R26+(Calculations!R26*Calculations!O27*Q27))</f>
        <v>1494777.0032051799</v>
      </c>
      <c r="S27" s="54">
        <f t="shared" si="0"/>
        <v>1</v>
      </c>
      <c r="T27" s="37">
        <f t="shared" si="5"/>
        <v>1494.7770032051799</v>
      </c>
      <c r="U27" s="142">
        <f>T27/(1+Real_Discount_Rate)^(Calculations!M27-'Assumed Values'!$C$5)</f>
        <v>315.31855012222883</v>
      </c>
    </row>
    <row r="28" spans="1:21" ht="15.75" x14ac:dyDescent="0.25">
      <c r="A28" s="161" t="s">
        <v>61</v>
      </c>
      <c r="B28" s="165" t="s">
        <v>62</v>
      </c>
      <c r="D28" s="163">
        <f>D$26*'Value of Statistical Life'!D18*Appropriate_Crash_Reduction_Factor</f>
        <v>0</v>
      </c>
      <c r="E28" s="163">
        <f>E$26*'Value of Statistical Life'!E18*Appropriate_Crash_Reduction_Factor</f>
        <v>0.13017149212322957</v>
      </c>
      <c r="F28" s="163">
        <f>F$26*'Value of Statistical Life'!F18*Appropriate_Crash_Reduction_Factor</f>
        <v>0.71299301326719133</v>
      </c>
      <c r="G28" s="163">
        <f>G$26*'Value of Statistical Life'!G18*Appropriate_Crash_Reduction_Factor</f>
        <v>0.97554571806590828</v>
      </c>
      <c r="H28" s="163">
        <f>H$26*'Value of Statistical Life'!H18*Appropriate_Crash_Reduction_Factor</f>
        <v>0.96186446931114211</v>
      </c>
      <c r="I28" s="163">
        <f>I$26*'Value of Statistical Life'!I18*Appropriate_Crash_Reduction_Factor</f>
        <v>0.21296965749604158</v>
      </c>
      <c r="J28" s="163">
        <f t="shared" si="9"/>
        <v>2.9935443502635133</v>
      </c>
      <c r="K28" s="164"/>
      <c r="L28" s="136"/>
      <c r="M28" s="137">
        <f t="shared" si="1"/>
        <v>2042</v>
      </c>
      <c r="N28" s="145">
        <f t="shared" si="6"/>
        <v>36836.606615819917</v>
      </c>
      <c r="O28" s="146">
        <f t="shared" si="7"/>
        <v>1.8283319203286741E-2</v>
      </c>
      <c r="P28" s="147">
        <f t="shared" si="8"/>
        <v>0.69113417139517608</v>
      </c>
      <c r="Q28" s="148">
        <f t="shared" si="4"/>
        <v>1</v>
      </c>
      <c r="R28" s="37">
        <f>IF(M28=Year_Open_to_Traffic?,Calculations!$J$5,Calculations!R27+(Calculations!R27*Calculations!O28*Q28))</f>
        <v>1522106.4882925127</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4.9083401996654286E-2</v>
      </c>
      <c r="F29" s="163">
        <f>F$26*'Value of Statistical Life'!F19*Appropriate_Crash_Reduction_Factor</f>
        <v>0.10111783582871375</v>
      </c>
      <c r="G29" s="163">
        <f>G$26*'Value of Statistical Life'!G19*Appropriate_Crash_Reduction_Factor</f>
        <v>9.0428925306170319E-2</v>
      </c>
      <c r="H29" s="163">
        <f>H$26*'Value of Statistical Life'!H19*Appropriate_Crash_Reduction_Factor</f>
        <v>2.6243511771201069E-2</v>
      </c>
      <c r="I29" s="163">
        <f>I$26*'Value of Statistical Life'!I19*Appropriate_Crash_Reduction_Factor</f>
        <v>4.5268616912357292E-2</v>
      </c>
      <c r="J29" s="163">
        <f t="shared" si="9"/>
        <v>0.31214229181509667</v>
      </c>
      <c r="K29" s="164"/>
      <c r="L29" s="136"/>
      <c r="M29" s="144">
        <f t="shared" si="1"/>
        <v>2043</v>
      </c>
      <c r="N29" s="145">
        <f t="shared" si="6"/>
        <v>37510.102052942857</v>
      </c>
      <c r="O29" s="146">
        <f t="shared" si="7"/>
        <v>1.8283319203286741E-2</v>
      </c>
      <c r="P29" s="147">
        <f t="shared" si="8"/>
        <v>0.70377039806309327</v>
      </c>
      <c r="Q29" s="148">
        <f t="shared" si="4"/>
        <v>1</v>
      </c>
      <c r="R29" s="37">
        <f>IF(M29=Year_Open_to_Traffic?,Calculations!$J$5,Calculations!R28+(Calculations!R28*Calculations!O29*Q29))</f>
        <v>1549935.6470793586</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3.3892150116017698E-2</v>
      </c>
      <c r="F30" s="163">
        <f>F$26*'Value of Statistical Life'!F20*Appropriate_Crash_Reduction_Factor</f>
        <v>2.9607911004718813E-2</v>
      </c>
      <c r="G30" s="163">
        <f>G$26*'Value of Statistical Life'!G20*Appropriate_Crash_Reduction_Factor</f>
        <v>1.515402581801102E-2</v>
      </c>
      <c r="H30" s="163">
        <f>H$26*'Value of Statistical Life'!H20*Appropriate_Crash_Reduction_Factor</f>
        <v>1.060343909947518E-3</v>
      </c>
      <c r="I30" s="163">
        <f>I$26*'Value of Statistical Life'!I20*Appropriate_Crash_Reduction_Factor</f>
        <v>2.4578328186071356E-2</v>
      </c>
      <c r="J30" s="163">
        <f t="shared" si="9"/>
        <v>0.1042927590347664</v>
      </c>
      <c r="K30" s="164"/>
      <c r="L30" s="136"/>
      <c r="M30" s="144">
        <f t="shared" si="1"/>
        <v>2044</v>
      </c>
      <c r="N30" s="145">
        <f t="shared" si="6"/>
        <v>38195.911222124676</v>
      </c>
      <c r="O30" s="146">
        <f t="shared" si="7"/>
        <v>1.8283319203286741E-2</v>
      </c>
      <c r="P30" s="147">
        <f t="shared" si="8"/>
        <v>0.71663765689670511</v>
      </c>
      <c r="Q30" s="148">
        <f t="shared" si="4"/>
        <v>1</v>
      </c>
      <c r="R30" s="37">
        <f>IF(M30=Year_Open_to_Traffic?,Calculations!$J$5,Calculations!R29+(Calculations!R29*Calculations!O30*Q30))</f>
        <v>1578273.6152594632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9.3574918862953885E-3</v>
      </c>
      <c r="F31" s="163">
        <f>F$26*'Value of Statistical Life'!F21*Appropriate_Crash_Reduction_Factor</f>
        <v>5.7527122603966349E-3</v>
      </c>
      <c r="G31" s="163">
        <f>G$26*'Value of Statistical Life'!G21*Appropriate_Crash_Reduction_Factor</f>
        <v>2.009217241977185E-3</v>
      </c>
      <c r="H31" s="163">
        <f>H$26*'Value of Statistical Life'!H21*Appropriate_Crash_Reduction_Factor</f>
        <v>0</v>
      </c>
      <c r="I31" s="163">
        <f>I$26*'Value of Statistical Life'!I21*Appropriate_Crash_Reduction_Factor</f>
        <v>3.1481894313485632E-3</v>
      </c>
      <c r="J31" s="163">
        <f t="shared" si="9"/>
        <v>2.0267610820017771E-2</v>
      </c>
      <c r="K31" s="164"/>
      <c r="L31" s="136"/>
      <c r="M31" s="144">
        <f t="shared" si="1"/>
        <v>2045</v>
      </c>
      <c r="N31" s="145">
        <f t="shared" si="6"/>
        <v>38894.259259259183</v>
      </c>
      <c r="O31" s="146">
        <f t="shared" si="7"/>
        <v>1.8283319203286741E-2</v>
      </c>
      <c r="P31" s="147">
        <f t="shared" si="8"/>
        <v>0.72974017193084317</v>
      </c>
      <c r="Q31" s="148">
        <f t="shared" si="4"/>
        <v>1</v>
      </c>
      <c r="R31" s="37">
        <f>IF(M31=Year_Open_to_Traffic?,Calculations!$J$5,Calculations!R30+(Calculations!R30*Calculations!O31*Q31))</f>
        <v>1607129.6955573773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4.1857521408090008E-3</v>
      </c>
      <c r="F32" s="163">
        <f>F$26*'Value of Statistical Life'!F22*Appropriate_Crash_Reduction_Factor</f>
        <v>9.3713538435493586E-4</v>
      </c>
      <c r="G32" s="163">
        <f>G$26*'Value of Statistical Life'!G22*Appropriate_Crash_Reduction_Factor</f>
        <v>1.8394242356129154E-4</v>
      </c>
      <c r="H32" s="163">
        <f>H$26*'Value of Statistical Life'!H22*Appropriate_Crash_Reduction_Factor</f>
        <v>3.9762896623031925E-4</v>
      </c>
      <c r="I32" s="163">
        <f>I$26*'Value of Statistical Life'!I22*Appropriate_Crash_Reduction_Factor</f>
        <v>1.4235735029922997E-3</v>
      </c>
      <c r="J32" s="163">
        <f t="shared" si="9"/>
        <v>7.1280324179478468E-3</v>
      </c>
      <c r="K32" s="164"/>
      <c r="L32" s="136"/>
      <c r="M32" s="144">
        <f t="shared" si="1"/>
        <v>2046</v>
      </c>
      <c r="N32" s="145">
        <f t="shared" si="6"/>
        <v>39605.375416471608</v>
      </c>
      <c r="O32" s="146">
        <f t="shared" si="7"/>
        <v>1.8283319203286741E-2</v>
      </c>
      <c r="P32" s="147">
        <f t="shared" si="8"/>
        <v>0.74308224442971627</v>
      </c>
      <c r="Q32" s="148">
        <f t="shared" si="4"/>
        <v>1</v>
      </c>
      <c r="R32" s="37">
        <f>IF(M32=Year_Open_to_Traffic?,Calculations!$J$5,Calculations!R31+(Calculations!R31*Calculations!O32*Q32))</f>
        <v>1636513.3607823339</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3.7529492565465811E-2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3.7529492565465811E-2</v>
      </c>
      <c r="K33" s="164"/>
      <c r="L33" s="136"/>
      <c r="M33" s="144">
        <f t="shared" si="1"/>
        <v>2047</v>
      </c>
      <c r="N33" s="145">
        <f t="shared" si="6"/>
        <v>40329.493137376965</v>
      </c>
      <c r="O33" s="146">
        <f t="shared" si="7"/>
        <v>1.8283319203286741E-2</v>
      </c>
      <c r="P33" s="147">
        <f t="shared" si="8"/>
        <v>0.75666825429891971</v>
      </c>
      <c r="Q33" s="148">
        <f t="shared" si="4"/>
        <v>1</v>
      </c>
      <c r="R33" s="37">
        <f>IF(M33=Year_Open_to_Traffic?,Calculations!$J$5,Calculations!R32+(Calculations!R32*Calculations!O33*Q33))</f>
        <v>1666434.2569379609</v>
      </c>
      <c r="S33" s="54">
        <f t="shared" si="0"/>
        <v>0</v>
      </c>
      <c r="T33" s="37">
        <f t="shared" si="5"/>
        <v>0</v>
      </c>
      <c r="U33" s="142">
        <f>T33/(1+Real_Discount_Rate)^(Calculations!M33-'Assumed Values'!$C$5)</f>
        <v>0</v>
      </c>
    </row>
    <row r="34" spans="1:21" ht="15.75" x14ac:dyDescent="0.25">
      <c r="J34" s="166"/>
      <c r="L34" s="136"/>
      <c r="M34" s="144">
        <f t="shared" si="1"/>
        <v>2048</v>
      </c>
      <c r="N34" s="145">
        <f t="shared" si="6"/>
        <v>41066.85013371439</v>
      </c>
      <c r="O34" s="146">
        <f t="shared" si="7"/>
        <v>1.8283319203286741E-2</v>
      </c>
      <c r="P34" s="147">
        <f t="shared" si="8"/>
        <v>0.77050266152326075</v>
      </c>
      <c r="Q34" s="148">
        <f t="shared" si="4"/>
        <v>1</v>
      </c>
      <c r="R34" s="37">
        <f>IF(M34=Year_Open_to_Traffic?,Calculations!$J$5,Calculations!R33+(Calculations!R33*Calculations!O34*Q34))</f>
        <v>1696902.2063888495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41817.688463382627</v>
      </c>
      <c r="O35" s="146">
        <f t="shared" si="7"/>
        <v>1.8283319203286741E-2</v>
      </c>
      <c r="P35" s="147">
        <f t="shared" si="8"/>
        <v>0.78459000763087272</v>
      </c>
      <c r="Q35" s="148">
        <f t="shared" si="4"/>
        <v>1</v>
      </c>
      <c r="R35" s="37">
        <f>IF(M35=Year_Open_to_Traffic?,Calculations!$J$5,Calculations!R34+(Calculations!R34*Calculations!O35*Q35))</f>
        <v>1727927.2110850185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42582.254609902251</v>
      </c>
      <c r="O36" s="146">
        <f t="shared" si="7"/>
        <v>1.8283319203286741E-2</v>
      </c>
      <c r="P36" s="147">
        <f t="shared" si="8"/>
        <v>0.79893491718409737</v>
      </c>
      <c r="Q36" s="148">
        <f t="shared" si="4"/>
        <v>1</v>
      </c>
      <c r="R36" s="37">
        <f>IF(M36=Year_Open_to_Traffic?,Calculations!$J$5,Calculations!R35+(Calculations!R35*Calculations!O36*Q36))</f>
        <v>1759519.4558453308</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10182.408471779505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49" workbookViewId="0">
      <selection activeCell="E81" sqref="E81"/>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Jennifer Steen</cp:lastModifiedBy>
  <cp:lastPrinted>2018-08-02T18:58:13Z</cp:lastPrinted>
  <dcterms:created xsi:type="dcterms:W3CDTF">2012-07-25T15:48:32Z</dcterms:created>
  <dcterms:modified xsi:type="dcterms:W3CDTF">2018-10-29T17:01:10Z</dcterms:modified>
</cp:coreProperties>
</file>