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a-vcenter\Conroe_Data\12300\12362 HGAC Submission - Shenandoah\03 Engineering\01 Submittal\02 Application\"/>
    </mc:Choice>
  </mc:AlternateContent>
  <bookViews>
    <workbookView xWindow="0" yWindow="0" windowWidth="25200" windowHeight="1257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52511"/>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<sst xmlns="http://schemas.openxmlformats.org/spreadsheetml/2006/main" count="364" uniqueCount="207">
  <si>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</si>
  <si>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</si>
  <si>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</si>
  <si>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</si>
  <si>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</si>
  <si>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</si>
  <si>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</si>
  <si>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</si>
  <si>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</si>
  <si>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</si>
  <si>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</si>
  <si>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</si>
  <si>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</si>
  <si>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</si>
  <si>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</si>
  <si>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</si>
  <si>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</si>
  <si>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</si>
  <si>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</si>
  <si>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</si>
  <si>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</si>
  <si>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</si>
  <si>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</si>
  <si>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</si>
  <si>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</si>
  <si>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</si>
  <si>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</si>
  <si>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</si>
  <si>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</si>
  <si>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</si>
  <si>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</si>
  <si>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</si>
  <si>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</si>
  <si>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</si>
  <si>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</si>
  <si>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</si>
  <si>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</si>
  <si>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</si>
  <si>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</si>
  <si>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</si>
  <si>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</si>
  <si>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</si>
  <si>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</si>
  <si>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</si>
  <si>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</si>
  <si>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</si>
  <si>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</si>
  <si>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</si>
  <si>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</si>
  <si>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</si>
  <si>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</si>
  <si>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</si>
  <si>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</si>
  <si>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</si>
  <si>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</si>
  <si>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</si>
  <si>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</si>
  <si>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</si>
  <si>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</si>
  <si>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</si>
  <si>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</si>
  <si>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</si>
  <si>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</si>
  <si>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</si>
  <si>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</si>
  <si>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</si>
  <si>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</si>
  <si>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</si>
  <si>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</si>
  <si>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</si>
  <si>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</si>
  <si>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</si>
  <si>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</si>
  <si>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</si>
  <si>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</si>
  <si>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</si>
  <si>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</si>
  <si>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</si>
  <si>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</si>
  <si>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</si>
  <si>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</si>
  <si>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</si>
  <si>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</si>
  <si>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</si>
  <si>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</si>
  <si>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</si>
  <si>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</si>
  <si>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</si>
  <si>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</si>
  <si>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</si>
  <si>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</si>
  <si>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</si>
  <si>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</si>
  <si>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</si>
  <si>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</si>
  <si>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</si>
  <si>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</si>
  <si>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</si>
  <si>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</si>
  <si>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</si>
  <si>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</si>
  <si>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</si>
  <si>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</si>
  <si>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</si>
  <si>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</si>
  <si>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</si>
  <si>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</si>
  <si>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</si>
  <si>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</si>
  <si>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</si>
  <si>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</si>
  <si>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</si>
  <si>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</si>
  <si>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</si>
  <si>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</si>
  <si>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</si>
  <si>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</si>
  <si>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</si>
  <si>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</si>
  <si>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</si>
  <si>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</si>
  <si>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</si>
  <si>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</si>
  <si>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</si>
  <si>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</si>
  <si>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</si>
  <si>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</si>
  <si>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</si>
  <si>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</si>
  <si>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</si>
  <si>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</si>
  <si>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</si>
  <si>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</si>
  <si>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</si>
  <si>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</si>
  <si>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</si>
  <si>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</si>
  <si>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</si>
  <si>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</si>
  <si>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</si>
  <si>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</si>
  <si>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</si>
  <si>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</si>
  <si>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</si>
  <si>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</si>
  <si>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</si>
  <si>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</si>
  <si>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</si>
  <si>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</si>
  <si>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</si>
  <si>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</si>
  <si>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</si>
  <si>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</si>
  <si>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</si>
  <si>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</si>
  <si>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</si>
  <si>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</si>
  <si>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</si>
  <si>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</si>
  <si>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</si>
  <si>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</si>
  <si>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</si>
  <si>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</si>
  <si>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</si>
  <si>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</si>
  <si>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</si>
  <si>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</si>
  <si>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</si>
  <si>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</si>
  <si>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</si>
  <si>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</si>
  <si>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</si>
  <si>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</si>
  <si>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</si>
  <si>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</si>
  <si>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</si>
  <si>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</si>
  <si>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</si>
  <si>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</si>
  <si>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</si>
  <si>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</si>
  <si>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</si>
  <si>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</si>
  <si>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</si>
  <si>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</si>
  <si>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</si>
  <si>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</si>
  <si>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</si>
  <si>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</si>
  <si>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</si>
  <si>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</si>
  <si>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</si>
  <si>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</si>
  <si>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</si>
  <si>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</si>
  <si>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</si>
  <si>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</si>
  <si>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</si>
  <si>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Transit Centers/Park &amp; Ride facilities</t>
  </si>
  <si>
    <t>Estimated 2025 Peak Period Traffic Volume</t>
  </si>
  <si>
    <t>Estimated 2045 Peak Period Traffic Volume</t>
  </si>
  <si>
    <t>Estimated Number of New Daily Users in Year Open to Traffic</t>
  </si>
  <si>
    <t>David Memorial Roadway extension</t>
  </si>
  <si>
    <t>David Memorial Roadway</t>
  </si>
  <si>
    <t>existing deadend</t>
  </si>
  <si>
    <t>SH-242</t>
  </si>
  <si>
    <t>2045 Peak Period Roadway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</si>
</sst>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xmlns=""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9" sqref="J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zoomScale="115" zoomScaleNormal="115" workbookViewId="0">
      <selection activeCell="F26" sqref="F26"/>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60" x14ac:dyDescent="0.25">
      <c r="B6" s="139" t="s">
        <v>155</v>
      </c>
      <c r="C6" s="104" t="s">
        <v>202</v>
      </c>
    </row>
    <row r="7" spans="2:6" x14ac:dyDescent="0.25">
      <c r="B7" s="6" t="s">
        <v>115</v>
      </c>
      <c r="C7" s="6" t="s">
        <v>122</v>
      </c>
      <c r="E7" s="6"/>
      <c r="F7" s="136" t="s">
        <v>168</v>
      </c>
    </row>
    <row r="8" spans="2:6" x14ac:dyDescent="0.25">
      <c r="B8" s="6" t="s">
        <v>124</v>
      </c>
      <c r="C8" s="6" t="s">
        <v>126</v>
      </c>
      <c r="E8" s="140"/>
      <c r="F8" s="136" t="s">
        <v>164</v>
      </c>
    </row>
    <row r="9" spans="2:6" x14ac:dyDescent="0.25">
      <c r="B9" s="6" t="s">
        <v>156</v>
      </c>
      <c r="C9" s="6" t="s">
        <v>203</v>
      </c>
      <c r="E9" s="141"/>
      <c r="F9" s="136" t="s">
        <v>187</v>
      </c>
    </row>
    <row r="10" spans="2:6" x14ac:dyDescent="0.25">
      <c r="B10" s="6" t="s">
        <v>113</v>
      </c>
      <c r="C10" s="6" t="s">
        <v>204</v>
      </c>
      <c r="E10" s="142"/>
      <c r="F10" s="136" t="s">
        <v>169</v>
      </c>
    </row>
    <row r="11" spans="2:6" x14ac:dyDescent="0.25">
      <c r="B11" s="6" t="s">
        <v>114</v>
      </c>
      <c r="C11" s="6" t="s">
        <v>205</v>
      </c>
    </row>
    <row r="12" spans="2:6" x14ac:dyDescent="0.25">
      <c r="B12" s="6" t="s">
        <v>77</v>
      </c>
      <c r="C12" s="6">
        <v>187</v>
      </c>
    </row>
    <row r="13" spans="2:6" x14ac:dyDescent="0.25">
      <c r="B13" s="6" t="s">
        <v>78</v>
      </c>
      <c r="C13" s="6"/>
    </row>
    <row r="14" spans="2:6" x14ac:dyDescent="0.25">
      <c r="B14" s="78"/>
      <c r="C14" s="78"/>
    </row>
    <row r="15" spans="2:6" x14ac:dyDescent="0.25">
      <c r="B15" s="138" t="s">
        <v>159</v>
      </c>
    </row>
    <row r="16" spans="2:6" x14ac:dyDescent="0.25">
      <c r="B16" s="6" t="s">
        <v>102</v>
      </c>
      <c r="C16" s="47">
        <v>2022</v>
      </c>
    </row>
    <row r="17" spans="2:11" ht="45" x14ac:dyDescent="0.25">
      <c r="B17" s="6" t="s">
        <v>173</v>
      </c>
      <c r="C17" s="130" t="s">
        <v>178</v>
      </c>
    </row>
    <row r="18" spans="2:11" x14ac:dyDescent="0.25">
      <c r="B18" s="141" t="s">
        <v>101</v>
      </c>
      <c r="C18" s="131">
        <f>VLOOKUP(C17,'Service Life'!C5:D15,2,FALSE)</f>
        <v>20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201</v>
      </c>
      <c r="C22" s="130">
        <v>5400</v>
      </c>
      <c r="E22" s="143"/>
      <c r="F22" s="83"/>
    </row>
    <row r="23" spans="2:11" x14ac:dyDescent="0.25">
      <c r="B23" s="6" t="s">
        <v>172</v>
      </c>
      <c r="C23" s="6">
        <v>1.06</v>
      </c>
      <c r="E23" s="143"/>
      <c r="F23" s="83"/>
    </row>
    <row r="24" spans="2:11" x14ac:dyDescent="0.25">
      <c r="E24" s="143"/>
      <c r="F24" s="83"/>
    </row>
    <row r="25" spans="2:11" x14ac:dyDescent="0.25">
      <c r="I25" s="145"/>
      <c r="J25" s="146"/>
      <c r="K25" s="147"/>
    </row>
    <row r="26" spans="2:11" x14ac:dyDescent="0.25">
      <c r="B26" s="148" t="s">
        <v>195</v>
      </c>
      <c r="C26" s="133">
        <v>5400</v>
      </c>
      <c r="I26" s="145"/>
      <c r="J26" s="146"/>
      <c r="K26" s="147"/>
    </row>
    <row r="27" spans="2:11" x14ac:dyDescent="0.25">
      <c r="B27" s="148" t="s">
        <v>196</v>
      </c>
      <c r="C27" s="133">
        <v>20706</v>
      </c>
      <c r="I27" s="145"/>
      <c r="J27" s="146"/>
      <c r="K27" s="147"/>
    </row>
    <row r="28" spans="2:11" x14ac:dyDescent="0.25">
      <c r="B28" s="148" t="s">
        <v>199</v>
      </c>
      <c r="C28" s="133">
        <v>10517</v>
      </c>
      <c r="I28" s="145"/>
      <c r="J28" s="146"/>
      <c r="K28" s="147"/>
    </row>
    <row r="29" spans="2:11" x14ac:dyDescent="0.25">
      <c r="B29" s="148" t="s">
        <v>197</v>
      </c>
      <c r="C29" s="133">
        <v>20706</v>
      </c>
      <c r="I29" s="145"/>
      <c r="J29" s="146"/>
      <c r="K29" s="147"/>
    </row>
    <row r="30" spans="2:11" x14ac:dyDescent="0.25">
      <c r="B30" s="148" t="s">
        <v>200</v>
      </c>
      <c r="C30" s="133">
        <v>15110</v>
      </c>
      <c r="F30" s="149"/>
      <c r="H30" s="149"/>
      <c r="J30" s="146"/>
      <c r="K30" s="147"/>
    </row>
    <row r="31" spans="2:11" x14ac:dyDescent="0.25">
      <c r="B31" s="148" t="s">
        <v>206</v>
      </c>
      <c r="C31" s="133">
        <v>20706</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9722.0351032946037</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3884.8920863309354</v>
      </c>
      <c r="G4" s="157" t="s">
        <v>170</v>
      </c>
      <c r="H4" s="157"/>
      <c r="I4" s="157"/>
      <c r="J4" s="116">
        <f>SUMPRODUCT(Possible_Crash_Reductions,'Value of Statistical Life'!E5:E11)</f>
        <v>802628.14550092793</v>
      </c>
      <c r="M4" s="60">
        <v>2018</v>
      </c>
      <c r="N4" s="61" t="s">
        <v>85</v>
      </c>
      <c r="O4" s="62">
        <f>MIN(B13,1)</f>
        <v>0.26079397276151839</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20</v>
      </c>
      <c r="D5" s="101" t="s">
        <v>161</v>
      </c>
      <c r="E5" s="100">
        <f>($E$4*'Inputs &amp; Outputs'!$C$23)*2</f>
        <v>8235.9712230215828</v>
      </c>
      <c r="M5" s="13">
        <f t="shared" ref="M5:M36" si="1">M4+1</f>
        <v>2019</v>
      </c>
      <c r="N5" s="53">
        <f t="shared" ref="N5:N11" si="2">IF(ISERROR(_2025_2045_Demand_Growth),_2018_2045_Demand_Growth,_2018_2025_Demand_Growth)</f>
        <v>9.9909298264109214E-2</v>
      </c>
      <c r="O5" s="55">
        <f t="shared" ref="O5:O11" si="3">O4*(1+IFERROR(_2018_2025_V_C_Growth,_2018_2045_V_C_Growth))</f>
        <v>0.28684971557163091</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2141352.5179856117</v>
      </c>
      <c r="M6" s="60">
        <f t="shared" si="1"/>
        <v>2020</v>
      </c>
      <c r="N6" s="53">
        <f t="shared" si="2"/>
        <v>9.9909298264109214E-2</v>
      </c>
      <c r="O6" s="55">
        <f t="shared" si="3"/>
        <v>0.31550866936165189</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9.9909298264109214E-2</v>
      </c>
      <c r="O7" s="55">
        <f t="shared" si="3"/>
        <v>0.34703091911381739</v>
      </c>
      <c r="P7" s="58">
        <f t="shared" si="4"/>
        <v>1</v>
      </c>
      <c r="Q7" s="119">
        <f>IF(M7=Year_Open_to_Traffic?,Calculations!$J$4,Calculations!Q6+Calculations!Q6*Calculations!N7*P7)</f>
        <v>0</v>
      </c>
      <c r="R7" s="66">
        <f t="shared" si="0"/>
        <v>0</v>
      </c>
      <c r="S7" s="119">
        <f t="shared" si="5"/>
        <v>0</v>
      </c>
      <c r="T7" s="40">
        <f>S7/(1+'Assumed Values'!$C$6)^(Calculations!M7-'Assumed Values'!$C$5)</f>
        <v>0</v>
      </c>
    </row>
    <row r="8" spans="1:20" x14ac:dyDescent="0.25">
      <c r="M8" s="60">
        <f t="shared" si="1"/>
        <v>2022</v>
      </c>
      <c r="N8" s="53">
        <f t="shared" si="2"/>
        <v>9.9909298264109214E-2</v>
      </c>
      <c r="O8" s="55">
        <f t="shared" si="3"/>
        <v>0.38170253471842774</v>
      </c>
      <c r="P8" s="58">
        <f t="shared" si="4"/>
        <v>1</v>
      </c>
      <c r="Q8" s="119">
        <f>IF(M8=Year_Open_to_Traffic?,Calculations!$J$4,Calculations!Q7+Calculations!Q7*Calculations!N8*P8)</f>
        <v>802628.14550092793</v>
      </c>
      <c r="R8" s="66">
        <f t="shared" si="0"/>
        <v>1</v>
      </c>
      <c r="S8" s="119">
        <f t="shared" si="5"/>
        <v>802.62814550092799</v>
      </c>
      <c r="T8" s="40">
        <f>S8/(1+'Assumed Values'!$C$6)^(Calculations!M8-'Assumed Values'!$C$5)</f>
        <v>612.32116925724233</v>
      </c>
    </row>
    <row r="9" spans="1:20" x14ac:dyDescent="0.25">
      <c r="A9" s="105" t="s">
        <v>15</v>
      </c>
      <c r="B9" s="90"/>
      <c r="D9" s="108" t="s">
        <v>139</v>
      </c>
      <c r="E9" s="82"/>
      <c r="F9" s="87"/>
      <c r="M9" s="13">
        <f t="shared" si="1"/>
        <v>2023</v>
      </c>
      <c r="N9" s="53">
        <f t="shared" si="2"/>
        <v>9.9909298264109214E-2</v>
      </c>
      <c r="O9" s="55">
        <f t="shared" si="3"/>
        <v>0.41983816710777766</v>
      </c>
      <c r="P9" s="58">
        <f t="shared" si="4"/>
        <v>1</v>
      </c>
      <c r="Q9" s="119">
        <f>IF(M9=Year_Open_to_Traffic?,Calculations!$J$4,Calculations!Q8+Calculations!Q8*Calculations!N9*P9)</f>
        <v>882818.160284949</v>
      </c>
      <c r="R9" s="66">
        <f t="shared" si="0"/>
        <v>1</v>
      </c>
      <c r="S9" s="119">
        <f t="shared" si="5"/>
        <v>882.81816028494904</v>
      </c>
      <c r="T9" s="40">
        <f>S9/(1+'Assumed Values'!$C$6)^(Calculations!M9-'Assumed Values'!$C$5)</f>
        <v>629.43714728036662</v>
      </c>
    </row>
    <row r="10" spans="1:20" x14ac:dyDescent="0.25">
      <c r="A10" s="16" t="s">
        <v>76</v>
      </c>
      <c r="B10" s="43">
        <f>(_2025_Volume/'Inputs &amp; Outputs'!C26)^(1/(2025-2018))-1</f>
        <v>9.9909298264109214E-2</v>
      </c>
      <c r="D10" s="64" t="s">
        <v>133</v>
      </c>
      <c r="E10" s="100">
        <f>IF('Inputs &amp; Outputs'!$C$8='CRASH RATES'!$D$3, VLOOKUP('Inputs &amp; Outputs'!$C$7,'CRASH RATES'!$C$14:$J$21,3,FALSE), VLOOKUP('Inputs &amp; Outputs'!$C$7,'CRASH RATES'!$C$28:$J$35,3,FALSE))</f>
        <v>1.6733669755541722</v>
      </c>
      <c r="F10" s="83"/>
      <c r="M10" s="60">
        <f t="shared" si="1"/>
        <v>2024</v>
      </c>
      <c r="N10" s="53">
        <f t="shared" si="2"/>
        <v>9.9909298264109214E-2</v>
      </c>
      <c r="O10" s="55">
        <f t="shared" si="3"/>
        <v>0.46178390376800554</v>
      </c>
      <c r="P10" s="58">
        <f t="shared" si="4"/>
        <v>1</v>
      </c>
      <c r="Q10" s="119">
        <f>IF(M10=Year_Open_to_Traffic?,Calculations!$J$4,Calculations!Q9+Calculations!Q9*Calculations!N10*P10)</f>
        <v>971019.90317383013</v>
      </c>
      <c r="R10" s="66">
        <f t="shared" si="0"/>
        <v>1</v>
      </c>
      <c r="S10" s="119">
        <f t="shared" si="5"/>
        <v>971.01990317383013</v>
      </c>
      <c r="T10" s="40">
        <f>S10/(1+'Assumed Values'!$C$6)^(Calculations!M10-'Assumed Values'!$C$5)</f>
        <v>647.0315616509447</v>
      </c>
    </row>
    <row r="11" spans="1:20" x14ac:dyDescent="0.25">
      <c r="A11" s="16" t="s">
        <v>105</v>
      </c>
      <c r="B11" s="43">
        <f>(_2045_Volume/_2025_Volume)^(1/(2045-2025))-1</f>
        <v>1.8283319203286741E-2</v>
      </c>
      <c r="D11" s="64" t="s">
        <v>134</v>
      </c>
      <c r="E11" s="100">
        <f>IF('Inputs &amp; Outputs'!$C$8='CRASH RATES'!$D$3, VLOOKUP('Inputs &amp; Outputs'!$C$7,'CRASH RATES'!$C$14:$J$21,4,FALSE), VLOOKUP('Inputs &amp; Outputs'!$C$7,'CRASH RATES'!$C$28:$J$35,4,FALSE))</f>
        <v>10.467444485381417</v>
      </c>
      <c r="F11" s="83"/>
      <c r="M11" s="13">
        <f t="shared" si="1"/>
        <v>2025</v>
      </c>
      <c r="N11" s="53">
        <f t="shared" si="2"/>
        <v>9.9909298264109214E-2</v>
      </c>
      <c r="O11" s="55">
        <f t="shared" si="3"/>
        <v>0.50792040954312789</v>
      </c>
      <c r="P11" s="58">
        <f t="shared" si="4"/>
        <v>1</v>
      </c>
      <c r="Q11" s="119">
        <f>IF(M11=Year_Open_to_Traffic?,Calculations!$J$4,Calculations!Q10+Calculations!Q10*Calculations!N11*P11)</f>
        <v>1068033.8203004107</v>
      </c>
      <c r="R11" s="66">
        <f t="shared" si="0"/>
        <v>1</v>
      </c>
      <c r="S11" s="119">
        <f t="shared" si="5"/>
        <v>1068.0338203004108</v>
      </c>
      <c r="T11" s="40">
        <f>S11/(1+'Assumed Values'!$C$6)^(Calculations!M11-'Assumed Values'!$C$5)</f>
        <v>665.11778591609459</v>
      </c>
    </row>
    <row r="12" spans="1:20" x14ac:dyDescent="0.25">
      <c r="A12" s="16" t="s">
        <v>106</v>
      </c>
      <c r="B12" s="43">
        <f>(_2045_Volume/'Inputs &amp; Outputs'!C26)^(1/(2045-2018))-1</f>
        <v>3.8845031068466263E-2</v>
      </c>
      <c r="D12" s="64" t="s">
        <v>135</v>
      </c>
      <c r="E12" s="100">
        <f>IF('Inputs &amp; Outputs'!$C$8='CRASH RATES'!$D$3, VLOOKUP('Inputs &amp; Outputs'!$C$7,'CRASH RATES'!$C$14:$J$21,5,FALSE), VLOOKUP('Inputs &amp; Outputs'!$C$7,'CRASH RATES'!$C$28:$J$35,5,FALSE))</f>
        <v>41.371328204126556</v>
      </c>
      <c r="F12" s="83"/>
      <c r="M12" s="60">
        <f t="shared" si="1"/>
        <v>2026</v>
      </c>
      <c r="N12" s="53">
        <f t="shared" ref="N12:N36" si="6">IFERROR(_2025_2045_Demand_Growth,_2018_2045_Demand_Growth)</f>
        <v>1.8283319203286741E-2</v>
      </c>
      <c r="O12" s="55">
        <f t="shared" ref="O12:O36" si="7">O11*(1+IFERROR(_2025_2040_V_C_Growth,_2018_2045_V_C_Growth))</f>
        <v>0.5172068805206691</v>
      </c>
      <c r="P12" s="58">
        <f t="shared" si="4"/>
        <v>1</v>
      </c>
      <c r="Q12" s="119">
        <f>IF(M12=Year_Open_to_Traffic?,Calculations!$J$4,Calculations!Q11+Calculations!Q11*Calculations!N12*P12)</f>
        <v>1087561.023556869</v>
      </c>
      <c r="R12" s="66">
        <f t="shared" si="0"/>
        <v>1</v>
      </c>
      <c r="S12" s="119">
        <f t="shared" si="5"/>
        <v>1087.561023556869</v>
      </c>
      <c r="T12" s="40">
        <f>S12/(1+'Assumed Values'!$C$6)^(Calculations!M12-'Assumed Values'!$C$5)</f>
        <v>632.97041748017</v>
      </c>
    </row>
    <row r="13" spans="1:20" x14ac:dyDescent="0.25">
      <c r="A13" s="16" t="s">
        <v>75</v>
      </c>
      <c r="B13" s="21">
        <f>'Inputs &amp; Outputs'!C26/_2018_Capacity</f>
        <v>0.26079397276151839</v>
      </c>
      <c r="D13" s="64" t="s">
        <v>136</v>
      </c>
      <c r="E13" s="100">
        <f>IF('Inputs &amp; Outputs'!$C$8='CRASH RATES'!$D$3, VLOOKUP('Inputs &amp; Outputs'!$C$7,'CRASH RATES'!$C$14:$J$21,6,FALSE), VLOOKUP('Inputs &amp; Outputs'!$C$7,'CRASH RATES'!$C$28:$J$35,6,FALSE))</f>
        <v>63.089495333659421</v>
      </c>
      <c r="F13" s="83"/>
      <c r="M13" s="13">
        <f t="shared" si="1"/>
        <v>2027</v>
      </c>
      <c r="N13" s="53">
        <f t="shared" si="6"/>
        <v>1.8283319203286741E-2</v>
      </c>
      <c r="O13" s="55">
        <f t="shared" si="7"/>
        <v>0.52666313901136474</v>
      </c>
      <c r="P13" s="58">
        <f t="shared" si="4"/>
        <v>1</v>
      </c>
      <c r="Q13" s="119">
        <f>IF(M13=Year_Open_to_Traffic?,Calculations!$J$4,Calculations!Q12+Calculations!Q12*Calculations!N13*P13)</f>
        <v>1107445.2489036126</v>
      </c>
      <c r="R13" s="66">
        <f t="shared" si="0"/>
        <v>1</v>
      </c>
      <c r="S13" s="119">
        <f t="shared" si="5"/>
        <v>1107.4452489036125</v>
      </c>
      <c r="T13" s="40">
        <f>S13/(1+'Assumed Values'!$C$6)^(Calculations!M13-'Assumed Values'!$C$5)</f>
        <v>602.37683894317536</v>
      </c>
    </row>
    <row r="14" spans="1:20" x14ac:dyDescent="0.25">
      <c r="A14" s="16" t="s">
        <v>74</v>
      </c>
      <c r="B14" s="21">
        <f>_2025_Volume/_2025_Capacity</f>
        <v>0.50792040954312756</v>
      </c>
      <c r="D14" s="64" t="s">
        <v>137</v>
      </c>
      <c r="E14" s="100">
        <f>IF('Inputs &amp; Outputs'!$C$8='CRASH RATES'!$D$3, VLOOKUP('Inputs &amp; Outputs'!$C$7,'CRASH RATES'!$C$14:$J$21,7,FALSE), VLOOKUP('Inputs &amp; Outputs'!$C$7,'CRASH RATES'!$C$28:$J$35,7,FALSE))</f>
        <v>590.98337079199359</v>
      </c>
      <c r="F14" s="83"/>
      <c r="M14" s="60">
        <f>M13+1</f>
        <v>2028</v>
      </c>
      <c r="N14" s="53">
        <f t="shared" si="6"/>
        <v>1.8283319203286741E-2</v>
      </c>
      <c r="O14" s="55">
        <f>O13*(1+IFERROR(_2025_2040_V_C_Growth,_2018_2045_V_C_Growth))</f>
        <v>0.53629228929451467</v>
      </c>
      <c r="P14" s="58">
        <f t="shared" si="4"/>
        <v>1</v>
      </c>
      <c r="Q14" s="119">
        <f>IF(M14=Year_Open_to_Traffic?,Calculations!$J$4,Calculations!Q13+Calculations!Q13*Calculations!N14*P14)</f>
        <v>1127693.0238894806</v>
      </c>
      <c r="R14" s="66">
        <f t="shared" si="0"/>
        <v>1</v>
      </c>
      <c r="S14" s="119">
        <f t="shared" si="5"/>
        <v>1127.6930238894806</v>
      </c>
      <c r="T14" s="40">
        <f>S14/(1+'Assumed Values'!$C$6)^(Calculations!M14-'Assumed Values'!$C$5)</f>
        <v>573.26195043947689</v>
      </c>
    </row>
    <row r="15" spans="1:20" x14ac:dyDescent="0.25">
      <c r="A15" s="16" t="s">
        <v>140</v>
      </c>
      <c r="B15" s="21">
        <f>_2045_Volume/_2045_Capacity</f>
        <v>0.72974017193084129</v>
      </c>
      <c r="D15" s="64" t="s">
        <v>138</v>
      </c>
      <c r="E15" s="100">
        <f>IF('Inputs &amp; Outputs'!$C$8='CRASH RATES'!$D$3, VLOOKUP('Inputs &amp; Outputs'!$C$7,'CRASH RATES'!$C$14:$J$21,8,FALSE), VLOOKUP('Inputs &amp; Outputs'!$C$7,'CRASH RATES'!$C$28:$J$35,8,FALSE))</f>
        <v>22.750670157002467</v>
      </c>
      <c r="F15" s="83"/>
      <c r="M15" s="13">
        <f>M14+1</f>
        <v>2029</v>
      </c>
      <c r="N15" s="53">
        <f t="shared" si="6"/>
        <v>1.8283319203286741E-2</v>
      </c>
      <c r="O15" s="55">
        <f>O14*(1+IFERROR(_2025_2040_V_C_Growth,_2018_2045_V_C_Growth))</f>
        <v>0.54609749240594785</v>
      </c>
      <c r="P15" s="58">
        <f t="shared" si="4"/>
        <v>1</v>
      </c>
      <c r="Q15" s="119">
        <f>IF(M15=Year_Open_to_Traffic?,Calculations!$J$4,Calculations!Q14+Calculations!Q14*Calculations!N15*P15)</f>
        <v>1148310.9954085716</v>
      </c>
      <c r="R15" s="66">
        <f t="shared" si="0"/>
        <v>1</v>
      </c>
      <c r="S15" s="119">
        <f t="shared" si="5"/>
        <v>1148.3109954085717</v>
      </c>
      <c r="T15" s="40">
        <f>S15/(1+'Assumed Values'!$C$6)^(Calculations!M15-'Assumed Values'!$C$5)</f>
        <v>545.55428193127148</v>
      </c>
    </row>
    <row r="16" spans="1:20" x14ac:dyDescent="0.25">
      <c r="A16" s="16" t="s">
        <v>80</v>
      </c>
      <c r="B16" s="43">
        <f>(B14/B13)^(1/(2025-2018))-1</f>
        <v>9.9909298264109214E-2</v>
      </c>
      <c r="M16" s="60">
        <f t="shared" si="1"/>
        <v>2030</v>
      </c>
      <c r="N16" s="53">
        <f t="shared" si="6"/>
        <v>1.8283319203286741E-2</v>
      </c>
      <c r="O16" s="55">
        <f t="shared" si="7"/>
        <v>0.55608196717572034</v>
      </c>
      <c r="P16" s="58">
        <f t="shared" si="4"/>
        <v>1</v>
      </c>
      <c r="Q16" s="119">
        <f>IF(M16=Year_Open_to_Traffic?,Calculations!$J$4,Calculations!Q15+Calculations!Q15*Calculations!N16*P16)</f>
        <v>1169305.9318822704</v>
      </c>
      <c r="R16" s="66">
        <f t="shared" si="0"/>
        <v>1</v>
      </c>
      <c r="S16" s="119">
        <f t="shared" si="5"/>
        <v>1169.3059318822704</v>
      </c>
      <c r="T16" s="40">
        <f>S16/(1+'Assumed Values'!$C$6)^(Calculations!M16-'Assumed Values'!$C$5)</f>
        <v>519.18581776686062</v>
      </c>
    </row>
    <row r="17" spans="1:20" x14ac:dyDescent="0.25">
      <c r="A17" s="16" t="s">
        <v>107</v>
      </c>
      <c r="B17" s="43">
        <f>(B15/B14)^(1/(2045-2025))-1</f>
        <v>1.8283319203286963E-2</v>
      </c>
      <c r="M17" s="13">
        <f t="shared" si="1"/>
        <v>2031</v>
      </c>
      <c r="N17" s="53">
        <f t="shared" si="6"/>
        <v>1.8283319203286741E-2</v>
      </c>
      <c r="O17" s="55">
        <f t="shared" si="7"/>
        <v>0.56624899128478579</v>
      </c>
      <c r="P17" s="58">
        <f t="shared" si="4"/>
        <v>1</v>
      </c>
      <c r="Q17" s="119">
        <f>IF(M17=Year_Open_to_Traffic?,Calculations!$J$4,Calculations!Q16+Calculations!Q16*Calculations!N17*P17)</f>
        <v>1190684.7254811707</v>
      </c>
      <c r="R17" s="66">
        <f t="shared" si="0"/>
        <v>1</v>
      </c>
      <c r="S17" s="119">
        <f t="shared" si="5"/>
        <v>1190.6847254811707</v>
      </c>
      <c r="T17" s="40">
        <f>S17/(1+'Assumed Values'!$C$6)^(Calculations!M17-'Assumed Values'!$C$5)</f>
        <v>494.09182971860901</v>
      </c>
    </row>
    <row r="18" spans="1:20" x14ac:dyDescent="0.25">
      <c r="A18" s="16" t="s">
        <v>108</v>
      </c>
      <c r="B18" s="43">
        <f>(B15/B13)^(1/(2045-2018))-1</f>
        <v>3.8845031068466263E-2</v>
      </c>
      <c r="D18" s="109" t="s">
        <v>175</v>
      </c>
      <c r="E18" s="82"/>
      <c r="M18" s="60">
        <f t="shared" si="1"/>
        <v>2032</v>
      </c>
      <c r="N18" s="53">
        <f t="shared" si="6"/>
        <v>1.8283319203286741E-2</v>
      </c>
      <c r="O18" s="55">
        <f t="shared" si="7"/>
        <v>0.57660190234098474</v>
      </c>
      <c r="P18" s="58">
        <f t="shared" si="4"/>
        <v>1</v>
      </c>
      <c r="Q18" s="119">
        <f>IF(M18=Year_Open_to_Traffic?,Calculations!$J$4,Calculations!Q17+Calculations!Q17*Calculations!N18*P18)</f>
        <v>1212454.3943876207</v>
      </c>
      <c r="R18" s="66">
        <f t="shared" si="0"/>
        <v>1</v>
      </c>
      <c r="S18" s="119">
        <f t="shared" si="5"/>
        <v>1212.4543943876208</v>
      </c>
      <c r="T18" s="40">
        <f>S18/(1+'Assumed Values'!$C$6)^(Calculations!M18-'Assumed Values'!$C$5)</f>
        <v>470.21071809073862</v>
      </c>
    </row>
    <row r="19" spans="1:20" x14ac:dyDescent="0.25">
      <c r="D19" s="64" t="s">
        <v>89</v>
      </c>
      <c r="E19" s="106">
        <f>(Calculations!$E$6*Death_Rate)/100000000</f>
        <v>3.5832685866168945E-2</v>
      </c>
      <c r="M19" s="13">
        <f t="shared" si="1"/>
        <v>2033</v>
      </c>
      <c r="N19" s="53">
        <f t="shared" si="6"/>
        <v>1.8283319203286741E-2</v>
      </c>
      <c r="O19" s="55">
        <f t="shared" si="7"/>
        <v>0.58714409897470743</v>
      </c>
      <c r="P19" s="58">
        <f t="shared" si="4"/>
        <v>1</v>
      </c>
      <c r="Q19" s="119">
        <f>IF(M19=Year_Open_to_Traffic?,Calculations!$J$4,Calculations!Q18+Calculations!Q18*Calculations!N19*P19)</f>
        <v>1234622.0850996373</v>
      </c>
      <c r="R19" s="66">
        <f t="shared" si="0"/>
        <v>1</v>
      </c>
      <c r="S19" s="119">
        <f t="shared" si="5"/>
        <v>1234.6220850996374</v>
      </c>
      <c r="T19" s="40">
        <f>S19/(1+'Assumed Values'!$C$6)^(Calculations!M19-'Assumed Values'!$C$5)</f>
        <v>447.4838605069142</v>
      </c>
    </row>
    <row r="20" spans="1:20" x14ac:dyDescent="0.25">
      <c r="D20" s="64" t="s">
        <v>94</v>
      </c>
      <c r="E20" s="106">
        <f>(Calculations!$E$6*Incap_Injry_Rate)/100000000</f>
        <v>0.22414488605646105</v>
      </c>
      <c r="M20" s="60">
        <f t="shared" si="1"/>
        <v>2034</v>
      </c>
      <c r="N20" s="53">
        <f t="shared" si="6"/>
        <v>1.8283319203286741E-2</v>
      </c>
      <c r="O20" s="55">
        <f t="shared" si="7"/>
        <v>0.5978790419545883</v>
      </c>
      <c r="P20" s="58">
        <f t="shared" si="4"/>
        <v>1</v>
      </c>
      <c r="Q20" s="119">
        <f>IF(M20=Year_Open_to_Traffic?,Calculations!$J$4,Calculations!Q19+Calculations!Q19*Calculations!N20*P20)</f>
        <v>1257195.0747769414</v>
      </c>
      <c r="R20" s="66">
        <f t="shared" si="0"/>
        <v>1</v>
      </c>
      <c r="S20" s="119">
        <f t="shared" si="5"/>
        <v>1257.1950747769415</v>
      </c>
      <c r="T20" s="40">
        <f>S20/(1+'Assumed Values'!$C$6)^(Calculations!M20-'Assumed Values'!$C$5)</f>
        <v>425.85546800643107</v>
      </c>
    </row>
    <row r="21" spans="1:20" x14ac:dyDescent="0.25">
      <c r="D21" s="64" t="s">
        <v>93</v>
      </c>
      <c r="E21" s="106">
        <f>(Calculations!$E$6*Nonincap_Injry_Rate)/100000000</f>
        <v>0.88590597822315553</v>
      </c>
      <c r="M21" s="13">
        <f>M20+1</f>
        <v>2035</v>
      </c>
      <c r="N21" s="53">
        <f t="shared" si="6"/>
        <v>1.8283319203286741E-2</v>
      </c>
      <c r="O21" s="55">
        <f>O20*(1+IFERROR(_2025_2040_V_C_Growth,_2018_2045_V_C_Growth))</f>
        <v>0.60881025532359945</v>
      </c>
      <c r="P21" s="58">
        <f t="shared" si="4"/>
        <v>1</v>
      </c>
      <c r="Q21" s="119">
        <f>IF(M21=Year_Open_to_Traffic?,Calculations!$J$4,Calculations!Q20+Calculations!Q20*Calculations!N21*P21)</f>
        <v>1280180.7736298882</v>
      </c>
      <c r="R21" s="66">
        <f t="shared" si="0"/>
        <v>1</v>
      </c>
      <c r="S21" s="119">
        <f t="shared" si="5"/>
        <v>1280.1807736298881</v>
      </c>
      <c r="T21" s="40">
        <f>S21/(1+'Assumed Values'!$C$6)^(Calculations!M21-'Assumed Values'!$C$5)</f>
        <v>405.27244809575484</v>
      </c>
    </row>
    <row r="22" spans="1:20" x14ac:dyDescent="0.25">
      <c r="D22" s="64" t="s">
        <v>92</v>
      </c>
      <c r="E22" s="106">
        <f>(Calculations!$E$6*Poss_Injry_Rate)/100000000</f>
        <v>1.350968496911731</v>
      </c>
      <c r="M22" s="60">
        <f>M21+1</f>
        <v>2036</v>
      </c>
      <c r="N22" s="53">
        <f t="shared" si="6"/>
        <v>1.8283319203286741E-2</v>
      </c>
      <c r="O22" s="55">
        <f t="shared" si="7"/>
        <v>0.61994132755591547</v>
      </c>
      <c r="P22" s="58">
        <f t="shared" si="4"/>
        <v>1</v>
      </c>
      <c r="Q22" s="119">
        <f>IF(M22=Year_Open_to_Traffic?,Calculations!$J$4,Calculations!Q21+Calculations!Q21*Calculations!N22*P22)</f>
        <v>1303586.7273520741</v>
      </c>
      <c r="R22" s="66">
        <f t="shared" si="0"/>
        <v>1</v>
      </c>
      <c r="S22" s="119">
        <f t="shared" si="5"/>
        <v>1303.5867273520741</v>
      </c>
      <c r="T22" s="40">
        <f>S22/(1+'Assumed Values'!$C$6)^(Calculations!M22-'Assumed Values'!$C$5)</f>
        <v>385.68427441924018</v>
      </c>
    </row>
    <row r="23" spans="1:20" x14ac:dyDescent="0.25">
      <c r="D23" s="64" t="s">
        <v>91</v>
      </c>
      <c r="E23" s="106">
        <f>(Calculations!$E$6*Non_Injry_Rate)/100000000</f>
        <v>12.655037291330601</v>
      </c>
      <c r="M23" s="13">
        <f t="shared" si="1"/>
        <v>2037</v>
      </c>
      <c r="N23" s="53">
        <f t="shared" si="6"/>
        <v>1.8283319203286741E-2</v>
      </c>
      <c r="O23" s="55">
        <f t="shared" si="7"/>
        <v>0.63127591273492978</v>
      </c>
      <c r="P23" s="58">
        <f t="shared" si="4"/>
        <v>1</v>
      </c>
      <c r="Q23" s="119">
        <f>IF(M23=Year_Open_to_Traffic?,Calculations!$J$4,Calculations!Q22+Calculations!Q22*Calculations!N23*P23)</f>
        <v>1327420.6195974201</v>
      </c>
      <c r="R23" s="66">
        <f t="shared" si="0"/>
        <v>1</v>
      </c>
      <c r="S23" s="119">
        <f t="shared" si="5"/>
        <v>1327.42061959742</v>
      </c>
      <c r="T23" s="40">
        <f>S23/(1+'Assumed Values'!$C$6)^(Calculations!M23-'Assumed Values'!$C$5)</f>
        <v>367.04286272909832</v>
      </c>
    </row>
    <row r="24" spans="1:20" x14ac:dyDescent="0.25">
      <c r="D24" s="64" t="s">
        <v>90</v>
      </c>
      <c r="E24" s="106">
        <f>(Calculations!$E$6*Unkn_Injry_Rate)/100000000</f>
        <v>0.48717204826557348</v>
      </c>
      <c r="M24" s="60">
        <f t="shared" si="1"/>
        <v>2038</v>
      </c>
      <c r="N24" s="53">
        <f t="shared" si="6"/>
        <v>1.8283319203286741E-2</v>
      </c>
      <c r="O24" s="55">
        <f t="shared" si="7"/>
        <v>0.64281773175280887</v>
      </c>
      <c r="P24" s="58">
        <f t="shared" si="4"/>
        <v>1</v>
      </c>
      <c r="Q24" s="119">
        <f>IF(M24=Year_Open_to_Traffic?,Calculations!$J$4,Calculations!Q23+Calculations!Q23*Calculations!N24*P24)</f>
        <v>1351690.2745025444</v>
      </c>
      <c r="R24" s="66">
        <f t="shared" si="0"/>
        <v>1</v>
      </c>
      <c r="S24" s="119">
        <f t="shared" si="5"/>
        <v>1351.6902745025445</v>
      </c>
      <c r="T24" s="40">
        <f>S24/(1+'Assumed Values'!$C$6)^(Calculations!M24-'Assumed Values'!$C$5)</f>
        <v>349.30245285015201</v>
      </c>
    </row>
    <row r="25" spans="1:20" x14ac:dyDescent="0.25">
      <c r="M25" s="13">
        <f t="shared" si="1"/>
        <v>2039</v>
      </c>
      <c r="N25" s="53">
        <f t="shared" si="6"/>
        <v>1.8283319203286741E-2</v>
      </c>
      <c r="O25" s="55">
        <f t="shared" si="7"/>
        <v>0.65457057353197834</v>
      </c>
      <c r="P25" s="58">
        <f t="shared" si="4"/>
        <v>1</v>
      </c>
      <c r="Q25" s="119">
        <f>IF(M25=Year_Open_to_Traffic?,Calculations!$J$4,Calculations!Q24+Calculations!Q24*Calculations!N25*P25)</f>
        <v>1376403.6592552527</v>
      </c>
      <c r="R25" s="66">
        <f t="shared" si="0"/>
        <v>1</v>
      </c>
      <c r="S25" s="119">
        <f t="shared" si="5"/>
        <v>1376.4036592552527</v>
      </c>
      <c r="T25" s="40">
        <f>S25/(1+'Assumed Values'!$C$6)^(Calculations!M25-'Assumed Values'!$C$5)</f>
        <v>332.41949634962833</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1.8283319203286741E-2</v>
      </c>
      <c r="O26" s="55">
        <f t="shared" si="7"/>
        <v>0.66653829626894212</v>
      </c>
      <c r="P26" s="58">
        <f t="shared" si="4"/>
        <v>1</v>
      </c>
      <c r="Q26" s="119">
        <f>IF(M26=Year_Open_to_Traffic?,Calculations!$J$4,Calculations!Q25+Calculations!Q25*Calculations!N26*P26)</f>
        <v>1401568.8867099884</v>
      </c>
      <c r="R26" s="66">
        <f t="shared" si="0"/>
        <v>1</v>
      </c>
      <c r="S26" s="119">
        <f t="shared" si="5"/>
        <v>1401.5688867099884</v>
      </c>
      <c r="T26" s="40">
        <f>S26/(1+'Assumed Values'!$C$6)^(Calculations!M26-'Assumed Values'!$C$5)</f>
        <v>316.35254963624709</v>
      </c>
    </row>
    <row r="27" spans="1:20" x14ac:dyDescent="0.25">
      <c r="A27" s="117"/>
      <c r="B27" s="117"/>
      <c r="D27" s="70">
        <f>Calculations!E19</f>
        <v>3.5832685866168945E-2</v>
      </c>
      <c r="E27" s="70">
        <f>Calculations!E20</f>
        <v>0.22414488605646105</v>
      </c>
      <c r="F27" s="70">
        <f>Calculations!E21</f>
        <v>0.88590597822315553</v>
      </c>
      <c r="G27" s="70">
        <f>Calculations!E22</f>
        <v>1.350968496911731</v>
      </c>
      <c r="H27" s="70">
        <f>Calculations!E23</f>
        <v>12.655037291330601</v>
      </c>
      <c r="I27" s="70">
        <f>Calculations!E24</f>
        <v>0.48717204826557348</v>
      </c>
      <c r="J27" s="118"/>
      <c r="L27" s="103"/>
      <c r="M27" s="13">
        <f t="shared" si="1"/>
        <v>2041</v>
      </c>
      <c r="N27" s="53">
        <f t="shared" si="6"/>
        <v>1.8283319203286741E-2</v>
      </c>
      <c r="O27" s="55">
        <f t="shared" si="7"/>
        <v>0.67872482870084228</v>
      </c>
      <c r="P27" s="58">
        <f t="shared" si="4"/>
        <v>1</v>
      </c>
      <c r="Q27" s="119">
        <f>IF(M27=Year_Open_to_Traffic?,Calculations!$J$4,Calculations!Q26+Calculations!Q26*Calculations!N27*P27)</f>
        <v>1427194.2180511022</v>
      </c>
      <c r="R27" s="66">
        <f t="shared" si="0"/>
        <v>1</v>
      </c>
      <c r="S27" s="119">
        <f t="shared" si="5"/>
        <v>1427.1942180511023</v>
      </c>
      <c r="T27" s="40">
        <f>S27/(1+'Assumed Values'!$C$6)^(Calculations!M27-'Assumed Values'!$C$5)</f>
        <v>301.0621722261871</v>
      </c>
    </row>
    <row r="28" spans="1:20" x14ac:dyDescent="0.25">
      <c r="A28" s="49" t="s">
        <v>95</v>
      </c>
      <c r="B28" s="67" t="s">
        <v>96</v>
      </c>
      <c r="D28" s="71">
        <f>D$27*'Value of Statistical Life'!D17</f>
        <v>0</v>
      </c>
      <c r="E28" s="71">
        <f>E$27*'Value of Statistical Life'!E17</f>
        <v>7.7038597337605657E-3</v>
      </c>
      <c r="F28" s="71">
        <f>F$27*'Value of Statistical Life'!F17</f>
        <v>7.3946572002286798E-2</v>
      </c>
      <c r="G28" s="71">
        <f>G$27*'Value of Statistical Life'!G17</f>
        <v>0.31662648662120241</v>
      </c>
      <c r="H28" s="71">
        <f>H$27*'Value of Statistical Life'!H17</f>
        <v>11.710212207159859</v>
      </c>
      <c r="I28" s="71">
        <f>I$27*'Value of Statistical Life'!I17</f>
        <v>0.21277726380047185</v>
      </c>
      <c r="J28" s="71">
        <f>SUM(D28:I28)</f>
        <v>12.32126638931758</v>
      </c>
      <c r="K28" s="99"/>
      <c r="L28" s="103"/>
      <c r="M28" s="60">
        <f t="shared" si="1"/>
        <v>2042</v>
      </c>
      <c r="N28" s="53">
        <f t="shared" si="6"/>
        <v>1.8283319203286741E-2</v>
      </c>
      <c r="O28" s="55">
        <f t="shared" si="7"/>
        <v>0.69113417139517608</v>
      </c>
      <c r="P28" s="58">
        <f t="shared" si="4"/>
        <v>1</v>
      </c>
      <c r="Q28" s="119">
        <f>IF(M28=Year_Open_to_Traffic?,Calculations!$J$4,Calculations!Q27+Calculations!Q27*Calculations!N28*P28)</f>
        <v>1453288.0655048157</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0.1242860978694471</v>
      </c>
      <c r="F29" s="71">
        <f>F$27*'Value of Statistical Life'!F18</f>
        <v>0.6807567308460194</v>
      </c>
      <c r="G29" s="71">
        <f>G$27*'Value of Statistical Life'!G18</f>
        <v>0.93143873988076198</v>
      </c>
      <c r="H29" s="71">
        <f>H$27*'Value of Statistical Life'!H18</f>
        <v>0.91837605623186158</v>
      </c>
      <c r="I29" s="71">
        <f>I$27*'Value of Statistical Life'!I18</f>
        <v>0.20334074122556769</v>
      </c>
      <c r="J29" s="71">
        <f t="shared" ref="J29:J34" si="8">SUM(D29:I29)</f>
        <v>2.8581983660536578</v>
      </c>
      <c r="K29" s="99"/>
      <c r="L29" s="103"/>
      <c r="M29" s="13">
        <f t="shared" si="1"/>
        <v>2043</v>
      </c>
      <c r="N29" s="53">
        <f t="shared" si="6"/>
        <v>1.8283319203286741E-2</v>
      </c>
      <c r="O29" s="55">
        <f t="shared" si="7"/>
        <v>0.70377039806309327</v>
      </c>
      <c r="P29" s="58">
        <f t="shared" si="4"/>
        <v>1</v>
      </c>
      <c r="Q29" s="119">
        <f>IF(M29=Year_Open_to_Traffic?,Calculations!$J$4,Calculations!Q28+Calculations!Q28*Calculations!N29*P29)</f>
        <v>1479858.9951007674</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4.6864212776684872E-2</v>
      </c>
      <c r="F30" s="71">
        <f>F$27*'Value of Statistical Life'!F19</f>
        <v>9.6546033506759485E-2</v>
      </c>
      <c r="G30" s="71">
        <f>G$27*'Value of Statistical Life'!G19</f>
        <v>8.6340396637628727E-2</v>
      </c>
      <c r="H30" s="71">
        <f>H$27*'Value of Statistical Life'!H19</f>
        <v>2.5056973836834587E-2</v>
      </c>
      <c r="I30" s="71">
        <f>I$27*'Value of Statistical Life'!I19</f>
        <v>4.3221904122121672E-2</v>
      </c>
      <c r="J30" s="71">
        <f t="shared" si="8"/>
        <v>0.29802952088002932</v>
      </c>
      <c r="K30" s="99"/>
      <c r="L30" s="103"/>
      <c r="M30" s="13">
        <f t="shared" si="1"/>
        <v>2044</v>
      </c>
      <c r="N30" s="53">
        <f t="shared" si="6"/>
        <v>1.8283319203286741E-2</v>
      </c>
      <c r="O30" s="55">
        <f t="shared" si="7"/>
        <v>0.71663765689670511</v>
      </c>
      <c r="P30" s="58">
        <f t="shared" si="4"/>
        <v>1</v>
      </c>
      <c r="Q30" s="119">
        <f>IF(M30=Year_Open_to_Traffic?,Calculations!$J$4,Calculations!Q29+Calculations!Q29*Calculations!N30*P30)</f>
        <v>1506915.7294840498</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3.2359797199971278E-2</v>
      </c>
      <c r="F31" s="71">
        <f>F$27*'Value of Statistical Life'!F20</f>
        <v>2.8269259765100894E-2</v>
      </c>
      <c r="G31" s="71">
        <f>G$27*'Value of Statistical Life'!G20</f>
        <v>1.4468872601924641E-2</v>
      </c>
      <c r="H31" s="71">
        <f>H$27*'Value of Statistical Life'!H20</f>
        <v>1.0124029833064481E-3</v>
      </c>
      <c r="I31" s="71">
        <f>I$27*'Value of Statistical Life'!I20</f>
        <v>2.3467077564952674E-2</v>
      </c>
      <c r="J31" s="71">
        <f t="shared" si="8"/>
        <v>9.9577410115255935E-2</v>
      </c>
      <c r="K31" s="99"/>
      <c r="L31" s="103"/>
      <c r="M31" s="13">
        <f t="shared" si="1"/>
        <v>2045</v>
      </c>
      <c r="N31" s="53">
        <f t="shared" si="6"/>
        <v>1.8283319203286741E-2</v>
      </c>
      <c r="O31" s="55">
        <f t="shared" si="7"/>
        <v>0.72974017193084317</v>
      </c>
      <c r="P31" s="58">
        <f t="shared" si="4"/>
        <v>1</v>
      </c>
      <c r="Q31" s="119">
        <f>IF(M31=Year_Open_to_Traffic?,Calculations!$J$4,Calculations!Q30+Calculations!Q30*Calculations!N31*P31)</f>
        <v>1534467.1507786603</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8.9344151582105378E-3</v>
      </c>
      <c r="F32" s="71">
        <f>F$27*'Value of Statistical Life'!F21</f>
        <v>5.4926170649835645E-3</v>
      </c>
      <c r="G32" s="71">
        <f>G$27*'Value of Statistical Life'!G21</f>
        <v>1.918375265614658E-3</v>
      </c>
      <c r="H32" s="71">
        <f>H$27*'Value of Statistical Life'!H21</f>
        <v>0</v>
      </c>
      <c r="I32" s="71">
        <f>I$27*'Value of Statistical Life'!I21</f>
        <v>3.0058515377985886E-3</v>
      </c>
      <c r="J32" s="71">
        <f t="shared" si="8"/>
        <v>1.9351259026607347E-2</v>
      </c>
      <c r="K32" s="99"/>
      <c r="L32" s="103"/>
      <c r="M32" s="13">
        <f t="shared" si="1"/>
        <v>2046</v>
      </c>
      <c r="N32" s="53">
        <f t="shared" si="6"/>
        <v>1.8283319203286741E-2</v>
      </c>
      <c r="O32" s="55">
        <f t="shared" si="7"/>
        <v>0.74308224442971627</v>
      </c>
      <c r="P32" s="58">
        <f t="shared" si="4"/>
        <v>1</v>
      </c>
      <c r="Q32" s="119">
        <f>IF(M32=Year_Open_to_Traffic?,Calculations!$J$4,Calculations!Q31+Calculations!Q31*Calculations!N32*P32)</f>
        <v>1562522.3035033045</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3.9965033183867E-3</v>
      </c>
      <c r="F33" s="71">
        <f>F$27*'Value of Statistical Life'!F22</f>
        <v>8.9476503800538709E-4</v>
      </c>
      <c r="G33" s="71">
        <f>G$27*'Value of Statistical Life'!G22</f>
        <v>1.7562590459852502E-4</v>
      </c>
      <c r="H33" s="71">
        <f>H$27*'Value of Statistical Life'!H22</f>
        <v>3.7965111873991802E-4</v>
      </c>
      <c r="I33" s="71">
        <f>I$27*'Value of Statistical Life'!I22</f>
        <v>1.35921001466095E-3</v>
      </c>
      <c r="J33" s="71">
        <f t="shared" si="8"/>
        <v>6.8057553943914797E-3</v>
      </c>
      <c r="K33" s="99"/>
      <c r="L33" s="103"/>
      <c r="M33" s="13">
        <f t="shared" si="1"/>
        <v>2047</v>
      </c>
      <c r="N33" s="53">
        <f t="shared" si="6"/>
        <v>1.8283319203286741E-2</v>
      </c>
      <c r="O33" s="55">
        <f t="shared" si="7"/>
        <v>0.75666825429891971</v>
      </c>
      <c r="P33" s="58">
        <f t="shared" si="4"/>
        <v>1</v>
      </c>
      <c r="Q33" s="119">
        <f>IF(M33=Year_Open_to_Traffic?,Calculations!$J$4,Calculations!Q32+Calculations!Q32*Calculations!N33*P33)</f>
        <v>1591090.3975405104</v>
      </c>
      <c r="R33" s="66">
        <f t="shared" si="0"/>
        <v>0</v>
      </c>
      <c r="S33" s="119">
        <f t="shared" si="5"/>
        <v>0</v>
      </c>
      <c r="T33" s="40">
        <f>S33/(1+'Assumed Values'!$C$6)^(Calculations!M33-'Assumed Values'!$C$5)</f>
        <v>0</v>
      </c>
    </row>
    <row r="34" spans="1:20" x14ac:dyDescent="0.25">
      <c r="A34" s="49" t="s">
        <v>71</v>
      </c>
      <c r="B34" s="50" t="s">
        <v>72</v>
      </c>
      <c r="D34" s="71">
        <f>D$27*'Value of Statistical Life'!D23</f>
        <v>3.5832685866168945E-2</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3.5832685866168945E-2</v>
      </c>
      <c r="K34" s="99"/>
      <c r="L34" s="103"/>
      <c r="M34" s="13">
        <f t="shared" si="1"/>
        <v>2048</v>
      </c>
      <c r="N34" s="53">
        <f t="shared" si="6"/>
        <v>1.8283319203286741E-2</v>
      </c>
      <c r="O34" s="55">
        <f t="shared" si="7"/>
        <v>0.77050266152326075</v>
      </c>
      <c r="P34" s="58">
        <f t="shared" si="4"/>
        <v>1</v>
      </c>
      <c r="Q34" s="119">
        <f>IF(M34=Year_Open_to_Traffic?,Calculations!$J$4,Calculations!Q33+Calculations!Q33*Calculations!N34*P34)</f>
        <v>1620180.811160028</v>
      </c>
      <c r="R34" s="66">
        <f t="shared" si="0"/>
        <v>0</v>
      </c>
      <c r="S34" s="119">
        <f t="shared" si="5"/>
        <v>0</v>
      </c>
      <c r="T34" s="40">
        <f>S34/(1+'Assumed Values'!$C$6)^(Calculations!M34-'Assumed Values'!$C$5)</f>
        <v>0</v>
      </c>
    </row>
    <row r="35" spans="1:20" x14ac:dyDescent="0.25">
      <c r="J35" s="86"/>
      <c r="K35" s="98"/>
      <c r="M35" s="13">
        <f t="shared" si="1"/>
        <v>2049</v>
      </c>
      <c r="N35" s="53">
        <f t="shared" si="6"/>
        <v>1.8283319203286741E-2</v>
      </c>
      <c r="O35" s="55">
        <f t="shared" si="7"/>
        <v>0.78459000763087272</v>
      </c>
      <c r="P35" s="58">
        <f t="shared" si="4"/>
        <v>1</v>
      </c>
      <c r="Q35" s="119">
        <f>IF(M35=Year_Open_to_Traffic?,Calculations!$J$4,Calculations!Q34+Calculations!Q34*Calculations!N35*P35)</f>
        <v>1649803.0940975067</v>
      </c>
      <c r="R35" s="66">
        <f t="shared" si="0"/>
        <v>0</v>
      </c>
      <c r="S35" s="119">
        <f t="shared" si="5"/>
        <v>0</v>
      </c>
      <c r="T35" s="40">
        <f>S35/(1+'Assumed Values'!$C$6)^(Calculations!M35-'Assumed Values'!$C$5)</f>
        <v>0</v>
      </c>
    </row>
    <row r="36" spans="1:20" x14ac:dyDescent="0.25">
      <c r="M36" s="13">
        <f t="shared" si="1"/>
        <v>2050</v>
      </c>
      <c r="N36" s="53">
        <f t="shared" si="6"/>
        <v>1.8283319203286741E-2</v>
      </c>
      <c r="O36" s="55">
        <f t="shared" si="7"/>
        <v>0.79893491718409737</v>
      </c>
      <c r="P36" s="58">
        <f t="shared" si="4"/>
        <v>1</v>
      </c>
      <c r="Q36" s="119">
        <f>IF(M36=Year_Open_to_Traffic?,Calculations!$J$4,Calculations!Q35+Calculations!Q35*Calculations!N36*P36)</f>
        <v>1679966.9706894616</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9722.0351032946037</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workbookViewId="0">
      <selection activeCell="C13" sqref="C13"/>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198</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Jennifer Steen</cp:lastModifiedBy>
  <cp:lastPrinted>2018-08-02T19:00:00Z</cp:lastPrinted>
  <dcterms:created xsi:type="dcterms:W3CDTF">2012-07-25T15:48:32Z</dcterms:created>
  <dcterms:modified xsi:type="dcterms:W3CDTF">2018-10-29T17:03:33Z</dcterms:modified>
</cp:coreProperties>
</file>