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C:\Users\koffrp\OneDrive - WSP O365\Grants\Fort Bend\Bus Service app\"/>
    </mc:Choice>
  </mc:AlternateContent>
  <bookViews>
    <workbookView xWindow="0" yWindow="0" windowWidth="28800" windowHeight="1249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1027" calcMode="manual" iterateCount="10000" calcOnSave="0"/>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<sst xmlns="http://schemas.openxmlformats.org/spreadsheetml/2006/main" count="293" uniqueCount="238">
  <si>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</si>
  <si>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</si>
  <si>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</si>
  <si>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</si>
  <si>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</si>
  <si>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</si>
  <si>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</si>
  <si>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</si>
  <si>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</si>
  <si>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</si>
  <si>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</si>
  <si>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</si>
  <si>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</si>
  <si>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</si>
  <si>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</si>
  <si>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</si>
  <si>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</si>
  <si>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</si>
  <si>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</si>
  <si>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</si>
  <si>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</si>
  <si>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</si>
  <si>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</si>
  <si>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</si>
  <si>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</si>
  <si>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</si>
  <si>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</si>
  <si>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</si>
  <si>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</si>
  <si>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</si>
  <si>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</si>
  <si>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</si>
  <si>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</si>
  <si>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</si>
  <si>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</si>
  <si>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</si>
  <si>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</si>
  <si>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</si>
  <si>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</si>
  <si>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</si>
  <si>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</si>
  <si>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</si>
  <si>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</si>
  <si>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</si>
  <si>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</si>
  <si>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</si>
  <si>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</si>
  <si>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</si>
  <si>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</si>
  <si>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</si>
  <si>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</si>
  <si>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</si>
  <si>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</si>
  <si>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</si>
  <si>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</si>
  <si>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</si>
  <si>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</si>
  <si>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</si>
  <si>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</si>
  <si>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</si>
  <si>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</si>
  <si>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</si>
  <si>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</si>
  <si>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</si>
  <si>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</si>
  <si>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</si>
  <si>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</si>
  <si>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</si>
  <si>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</si>
  <si>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</si>
  <si>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</si>
  <si>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</si>
  <si>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</si>
  <si>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</si>
  <si>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</si>
  <si>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</si>
  <si>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</si>
  <si>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</si>
  <si>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</si>
  <si>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</si>
  <si>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</si>
  <si>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</si>
  <si>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</si>
  <si>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</si>
  <si>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</si>
  <si>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</si>
  <si>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</si>
  <si>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</si>
  <si>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</si>
  <si>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</si>
  <si>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</si>
  <si>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</si>
  <si>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</si>
  <si>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</si>
  <si>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</si>
  <si>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</si>
  <si>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</si>
  <si>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</si>
  <si>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</si>
  <si>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</si>
  <si>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</si>
  <si>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</si>
  <si>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</si>
  <si>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</si>
  <si>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</si>
  <si>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</si>
  <si>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</si>
  <si>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</si>
  <si>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</si>
  <si>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</si>
  <si>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</si>
  <si>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</si>
  <si>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</si>
  <si>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</si>
  <si>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</si>
  <si>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</si>
  <si>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</si>
  <si>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</si>
  <si>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</si>
  <si>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</si>
  <si>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</si>
  <si>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</si>
  <si>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</si>
  <si>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</si>
  <si>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</si>
  <si>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</si>
  <si>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</si>
  <si>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</si>
  <si>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</si>
  <si>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</si>
  <si>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</si>
  <si>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</si>
  <si>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</si>
  <si>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</si>
  <si>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</si>
  <si>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</si>
  <si>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</si>
  <si>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</si>
  <si>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</si>
  <si>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</si>
  <si>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</si>
  <si>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</si>
  <si>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</si>
  <si>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</si>
  <si>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</si>
  <si>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</si>
  <si>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</si>
  <si>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</si>
  <si>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</si>
  <si>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</si>
  <si>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</si>
  <si>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</si>
  <si>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</si>
  <si>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</si>
  <si>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</si>
  <si>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</si>
  <si>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</si>
  <si>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</si>
  <si>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</si>
  <si>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</si>
  <si>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</si>
  <si>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</si>
  <si>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</si>
  <si>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</si>
  <si>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</si>
  <si>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</si>
  <si>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</si>
  <si>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</si>
  <si>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</si>
  <si>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</si>
  <si>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</si>
  <si>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</si>
  <si>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</si>
  <si>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</si>
  <si>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</si>
  <si>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</si>
  <si>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</si>
  <si>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</si>
  <si>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</si>
  <si>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</si>
  <si>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</si>
  <si>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</si>
  <si>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</si>
  <si>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</si>
  <si>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</si>
  <si>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</si>
  <si>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</si>
  <si>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</si>
  <si>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</si>
  <si>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</si>
  <si>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</si>
  <si>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</si>
  <si>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</si>
  <si>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</si>
  <si>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</si>
  <si>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</si>
  <si>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</si>
  <si>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</si>
  <si>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</si>
  <si>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</si>
  <si>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</si>
  <si>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</si>
  <si>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</si>
  <si>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</si>
  <si>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</si>
  <si>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</si>
  <si>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</si>
  <si>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</si>
  <si>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</si>
  <si>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</si>
  <si>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</si>
  <si>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</si>
  <si>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</si>
  <si>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</si>
  <si>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</si>
  <si>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</si>
  <si>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</si>
  <si>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</si>
  <si>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</si>
  <si>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</si>
  <si>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</si>
  <si>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</si>
  <si>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</si>
  <si>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</si>
  <si>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</si>
  <si>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</si>
  <si>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</si>
  <si>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</si>
  <si>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</si>
  <si>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</si>
  <si>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</si>
  <si>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</si>
  <si>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</si>
  <si>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28 Rolling Stock and Bus Service to Downtown Houston</t>
  </si>
  <si>
    <t>I-69</t>
  </si>
  <si>
    <t>University Blvd</t>
  </si>
  <si>
    <t>Downtown Houston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</si>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</sst>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19" zoomScale="115" zoomScaleNormal="115" workbookViewId="0">
      <selection activeCell="D28" sqref="D28"/>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199</v>
      </c>
      <c r="D7" s="104"/>
      <c r="E7" s="103" t="s">
        <v>196</v>
      </c>
    </row>
    <row r="8" spans="1:7" x14ac:dyDescent="0.25">
      <c r="A8" s="8" t="s">
        <v>99</v>
      </c>
      <c r="B8" s="138" t="s">
        <v>205</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24</v>
      </c>
    </row>
    <row r="13" spans="1:7" x14ac:dyDescent="0.25">
      <c r="A13" s="8" t="s">
        <v>68</v>
      </c>
      <c r="B13" s="138" t="s">
        <v>237</v>
      </c>
      <c r="F13" s="120"/>
    </row>
    <row r="14" spans="1:7" x14ac:dyDescent="0.25">
      <c r="A14" s="8" t="s">
        <v>69</v>
      </c>
      <c r="B14" s="138" t="s">
        <v>237</v>
      </c>
    </row>
    <row r="17" spans="1:7" x14ac:dyDescent="0.25">
      <c r="A17" s="119" t="s">
        <v>120</v>
      </c>
      <c r="E17" s="151" t="s">
        <v>231</v>
      </c>
      <c r="F17" s="152"/>
    </row>
    <row r="18" spans="1:7" x14ac:dyDescent="0.25">
      <c r="A18" s="8" t="s">
        <v>79</v>
      </c>
      <c r="B18" s="139">
        <v>2021</v>
      </c>
      <c r="E18" s="105" t="s">
        <v>232</v>
      </c>
      <c r="F18" s="145">
        <f>$B$12/$B$32</f>
        <v>0.35294117647058826</v>
      </c>
    </row>
    <row r="19" spans="1:7" ht="30" x14ac:dyDescent="0.25">
      <c r="A19" s="8" t="s">
        <v>121</v>
      </c>
      <c r="B19" s="140" t="s">
        <v>165</v>
      </c>
      <c r="E19" s="107" t="s">
        <v>212</v>
      </c>
      <c r="F19" s="146">
        <f>$B$12/$B$33</f>
        <v>1.0342254409040132</v>
      </c>
    </row>
    <row r="20" spans="1:7" ht="30" x14ac:dyDescent="0.25">
      <c r="A20" s="135" t="s">
        <v>208</v>
      </c>
      <c r="B20" s="136">
        <f>VLOOKUP(B19,'Delay Reduction Factors'!B4:C80,2, FALSE)</f>
        <v>0.1</v>
      </c>
      <c r="E20" s="107" t="s">
        <v>209</v>
      </c>
      <c r="F20" s="145">
        <f>$F$19-$F$18</f>
        <v>0.68128426443342494</v>
      </c>
    </row>
    <row r="21" spans="1:7" x14ac:dyDescent="0.25">
      <c r="A21" s="8" t="s">
        <v>104</v>
      </c>
      <c r="B21" s="79">
        <v>7</v>
      </c>
      <c r="D21" s="121"/>
      <c r="E21" s="105" t="s">
        <v>210</v>
      </c>
      <c r="F21" s="145">
        <f>$F$20*$B$20</f>
        <v>6.8128426443342494E-2</v>
      </c>
      <c r="G21" s="122"/>
    </row>
    <row r="22" spans="1:7" s="113" customFormat="1" x14ac:dyDescent="0.25">
      <c r="D22" s="121"/>
      <c r="E22" s="105" t="s">
        <v>211</v>
      </c>
      <c r="F22" s="145">
        <f>$F$20-$F$21</f>
        <v>0.61315583799008244</v>
      </c>
      <c r="G22" s="122"/>
    </row>
    <row r="23" spans="1:7" x14ac:dyDescent="0.25">
      <c r="E23" s="105" t="s">
        <v>213</v>
      </c>
      <c r="F23" s="145">
        <f>$F$18+$F$22</f>
        <v>0.96609701446067064</v>
      </c>
    </row>
    <row r="24" spans="1:7" x14ac:dyDescent="0.25">
      <c r="A24" s="119" t="s">
        <v>94</v>
      </c>
      <c r="B24" s="123"/>
      <c r="D24" s="121"/>
      <c r="G24" s="124"/>
    </row>
    <row r="25" spans="1:7" x14ac:dyDescent="0.25">
      <c r="A25" s="8" t="s">
        <v>218</v>
      </c>
      <c r="B25" s="141">
        <v>200812</v>
      </c>
      <c r="D25" s="121"/>
      <c r="G25" s="124"/>
    </row>
    <row r="28" spans="1:7" x14ac:dyDescent="0.25">
      <c r="A28" s="105" t="s">
        <v>227</v>
      </c>
      <c r="B28" s="134">
        <f>IF(FacilityType='Delay Reduction Factors'!N5,'Inputs &amp; Outputs'!B25*45%, B25*43%)</f>
        <v>90365.400000000009</v>
      </c>
      <c r="D28" s="121"/>
      <c r="E28" s="125" t="s">
        <v>95</v>
      </c>
      <c r="F28" s="126" t="s">
        <v>20</v>
      </c>
      <c r="G28" s="127" t="s">
        <v>19</v>
      </c>
    </row>
    <row r="29" spans="1:7" x14ac:dyDescent="0.25">
      <c r="A29" s="105" t="s">
        <v>228</v>
      </c>
      <c r="B29" s="115">
        <f>VLOOKUP(Year_Open_to_Traffic?,Calculations!H4:I36,2)</f>
        <v>98730.159267855561</v>
      </c>
      <c r="D29" s="121"/>
      <c r="E29" s="107" t="s">
        <v>122</v>
      </c>
      <c r="F29" s="101">
        <f>$B$29*$F$23</f>
        <v>95382.912105901763</v>
      </c>
      <c r="G29" s="102">
        <f>$B$29*$F$19</f>
        <v>102109.24249932136</v>
      </c>
    </row>
    <row r="30" spans="1:7" x14ac:dyDescent="0.25">
      <c r="A30" s="124"/>
      <c r="B30" s="100"/>
      <c r="D30" s="121"/>
    </row>
    <row r="32" spans="1:7" x14ac:dyDescent="0.25">
      <c r="A32" s="128" t="s">
        <v>221</v>
      </c>
      <c r="B32" s="142">
        <v>68</v>
      </c>
      <c r="D32" s="121"/>
    </row>
    <row r="33" spans="1:7" ht="30" x14ac:dyDescent="0.25">
      <c r="A33" s="129" t="s">
        <v>222</v>
      </c>
      <c r="B33" s="143">
        <v>23.2057722144426</v>
      </c>
      <c r="D33" s="121"/>
      <c r="E33" s="121"/>
      <c r="F33" s="130"/>
      <c r="G33" s="117"/>
    </row>
    <row r="34" spans="1:7" x14ac:dyDescent="0.25">
      <c r="A34" s="131"/>
      <c r="B34" s="144"/>
      <c r="E34" s="117"/>
      <c r="F34" s="130"/>
      <c r="G34" s="130"/>
    </row>
    <row r="35" spans="1:7" x14ac:dyDescent="0.25">
      <c r="A35" s="105" t="s">
        <v>223</v>
      </c>
      <c r="B35" s="148">
        <f>$B$28</f>
        <v>90365.400000000009</v>
      </c>
    </row>
    <row r="36" spans="1:7" x14ac:dyDescent="0.25">
      <c r="A36" s="128" t="s">
        <v>224</v>
      </c>
      <c r="B36" s="142">
        <v>139214.94733970999</v>
      </c>
    </row>
    <row r="37" spans="1:7" x14ac:dyDescent="0.25">
      <c r="A37" s="128" t="s">
        <v>229</v>
      </c>
      <c r="B37" s="142">
        <v>111099.828183854</v>
      </c>
    </row>
    <row r="38" spans="1:7" x14ac:dyDescent="0.25">
      <c r="A38" s="128" t="s">
        <v>225</v>
      </c>
      <c r="B38" s="142">
        <v>144247.351825752</v>
      </c>
    </row>
    <row r="39" spans="1:7" x14ac:dyDescent="0.25">
      <c r="A39" s="128" t="s">
        <v>230</v>
      </c>
      <c r="B39" s="142">
        <v>130259.88913968801</v>
      </c>
    </row>
    <row r="40" spans="1:7" x14ac:dyDescent="0.25">
      <c r="A40" s="128" t="s">
        <v>226</v>
      </c>
      <c r="B40" s="142">
        <v>144237.53735356801</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249658.60269756947</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24799557.14753446</v>
      </c>
      <c r="F4" s="22">
        <f>'Inputs &amp; Outputs'!G29*Annual_Days_of_Travel</f>
        <v>26548403.049823556</v>
      </c>
      <c r="H4" s="59">
        <v>2018</v>
      </c>
      <c r="I4" s="60">
        <f>'Inputs &amp; Outputs'!B28</f>
        <v>90365.400000000009</v>
      </c>
      <c r="J4" s="60">
        <f>IF(H4=Year_Open_to_Traffic?,$F$4,0)</f>
        <v>0</v>
      </c>
      <c r="K4" s="60">
        <f>IF(H4=Year_Open_to_Traffic?,Calculations!$E$4,0)</f>
        <v>0</v>
      </c>
      <c r="L4" s="60">
        <f>IF(AND(H4&gt;=Year_Open_to_Traffic?, Calculations!H4&lt;Year_Open_to_Traffic?+'Inputs &amp; Outputs'!B$21), 1, 0)</f>
        <v>0</v>
      </c>
      <c r="M4" s="81" t="s">
        <v>75</v>
      </c>
      <c r="N4" s="82">
        <f>MIN(E8,1)</f>
        <v>0.64910702282199528</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2.9949396413645468E-2</v>
      </c>
      <c r="F5" s="28"/>
      <c r="H5" s="15">
        <f t="shared" ref="H5:H36" si="3">H4+1</f>
        <v>2019</v>
      </c>
      <c r="I5" s="97">
        <f>(I4*M5)+I4</f>
        <v>93071.789186677648</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2.9949396413645468E-2</v>
      </c>
      <c r="N5" s="87">
        <f t="shared" ref="N5:N11" si="6">N4*(1+IFERROR(_2018_2025_V_C_Growth,_2018_2045_V_C_Growth))</f>
        <v>0.66516448826909791</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7.9868486553835716E-3</v>
      </c>
      <c r="F6" s="28"/>
      <c r="H6" s="59">
        <f t="shared" si="3"/>
        <v>2020</v>
      </c>
      <c r="I6" s="97">
        <f t="shared" ref="I6:I36" si="10">(I5*M6)+I5</f>
        <v>95859.233095956704</v>
      </c>
      <c r="J6" s="60">
        <f t="shared" si="4"/>
        <v>0</v>
      </c>
      <c r="K6" s="60">
        <f>IF(H6=Year_Open_to_Traffic?,Calculations!$E$4,K5+(K5*M6))</f>
        <v>0</v>
      </c>
      <c r="L6" s="60">
        <f>IF(AND(H6&gt;=Year_Open_to_Traffic?, Calculations!H6&lt;Year_Open_to_Traffic?+'Inputs &amp; Outputs'!B$21), 1, 0)</f>
        <v>0</v>
      </c>
      <c r="M6" s="81">
        <f t="shared" si="5"/>
        <v>2.9949396413645468E-2</v>
      </c>
      <c r="N6" s="87">
        <f t="shared" si="6"/>
        <v>0.68161917973212616</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1.3635465381070855E-2</v>
      </c>
      <c r="F7" s="28"/>
      <c r="H7" s="15">
        <f t="shared" si="3"/>
        <v>2021</v>
      </c>
      <c r="I7" s="97">
        <f t="shared" si="10"/>
        <v>98730.159267855561</v>
      </c>
      <c r="J7" s="60">
        <f t="shared" si="4"/>
        <v>26548403.049823556</v>
      </c>
      <c r="K7" s="60">
        <f>IF(H7=Year_Open_to_Traffic?,Calculations!$E$4,K6+(K6*M7))</f>
        <v>24799557.14753446</v>
      </c>
      <c r="L7" s="60">
        <f>IF(AND(H7&gt;=Year_Open_to_Traffic?, Calculations!H7&lt;Year_Open_to_Traffic?+'Inputs &amp; Outputs'!B$21), 1, 0)</f>
        <v>1</v>
      </c>
      <c r="M7" s="81">
        <f t="shared" si="5"/>
        <v>2.9949396413645468E-2</v>
      </c>
      <c r="N7" s="87">
        <f t="shared" si="6"/>
        <v>0.69848092370008896</v>
      </c>
      <c r="O7" s="88">
        <f t="shared" si="7"/>
        <v>1</v>
      </c>
      <c r="P7" s="84">
        <f t="shared" si="8"/>
        <v>1748845.9022890963</v>
      </c>
      <c r="Q7" s="85">
        <f t="shared" si="0"/>
        <v>1</v>
      </c>
      <c r="R7" s="86">
        <f t="shared" si="1"/>
        <v>18.980213686084522</v>
      </c>
      <c r="S7" s="94">
        <f t="shared" si="2"/>
        <v>46138.921811977671</v>
      </c>
      <c r="T7" s="80">
        <f t="shared" si="9"/>
        <v>37663.103917150394</v>
      </c>
    </row>
    <row r="8" spans="1:24" x14ac:dyDescent="0.25">
      <c r="A8" s="18" t="s">
        <v>27</v>
      </c>
      <c r="B8" s="18">
        <v>260</v>
      </c>
      <c r="D8" s="18" t="s">
        <v>66</v>
      </c>
      <c r="E8" s="23">
        <f>_2018_PeakVolume/_2018_Capacity</f>
        <v>0.64910702282199528</v>
      </c>
      <c r="F8" s="28"/>
      <c r="H8" s="59">
        <f t="shared" si="3"/>
        <v>2022</v>
      </c>
      <c r="I8" s="97">
        <f t="shared" si="10"/>
        <v>101687.06794575092</v>
      </c>
      <c r="J8" s="60">
        <f t="shared" si="4"/>
        <v>27343511.696911957</v>
      </c>
      <c r="K8" s="60">
        <f>IF(H8=Year_Open_to_Traffic?,Calculations!$E$4,K7+(K7*M8))</f>
        <v>25542288.915428825</v>
      </c>
      <c r="L8" s="60">
        <f>IF(AND(H8&gt;=Year_Open_to_Traffic?, Calculations!H8&lt;Year_Open_to_Traffic?+'Inputs &amp; Outputs'!B$21), 1, 0)</f>
        <v>1</v>
      </c>
      <c r="M8" s="81">
        <f t="shared" si="5"/>
        <v>2.9949396413645468E-2</v>
      </c>
      <c r="N8" s="87">
        <f t="shared" si="6"/>
        <v>0.71575978974749921</v>
      </c>
      <c r="O8" s="88">
        <f t="shared" si="7"/>
        <v>1</v>
      </c>
      <c r="P8" s="84">
        <f>(J8-K8)*L8</f>
        <v>1801222.7814831324</v>
      </c>
      <c r="Q8" s="85">
        <f>IF(AND(H8&gt;=Year_Open_to_Traffic?,H8&lt;Year_Open_to_Traffic?+Years_to_include_in_BCA_Analysis),1,0)</f>
        <v>1</v>
      </c>
      <c r="R8" s="86">
        <f t="shared" si="1"/>
        <v>19.416758600864465</v>
      </c>
      <c r="S8" s="94">
        <f t="shared" si="2"/>
        <v>48613.732028865517</v>
      </c>
      <c r="T8" s="80">
        <f t="shared" si="9"/>
        <v>37087.183404582931</v>
      </c>
      <c r="W8" s="73"/>
      <c r="X8" s="73"/>
    </row>
    <row r="9" spans="1:24" x14ac:dyDescent="0.25">
      <c r="A9" s="18" t="s">
        <v>64</v>
      </c>
      <c r="B9" s="18">
        <f>'Inputs &amp; Outputs'!B21</f>
        <v>7</v>
      </c>
      <c r="D9" s="18" t="s">
        <v>65</v>
      </c>
      <c r="E9" s="23">
        <f>_2025_PeakVolume/_2025_Capacity</f>
        <v>0.77020358972038827</v>
      </c>
      <c r="F9" s="28"/>
      <c r="H9" s="15">
        <f t="shared" si="3"/>
        <v>2023</v>
      </c>
      <c r="I9" s="97">
        <f t="shared" si="10"/>
        <v>104732.53425379952</v>
      </c>
      <c r="J9" s="60">
        <f t="shared" si="4"/>
        <v>28162433.368063927</v>
      </c>
      <c r="K9" s="60">
        <f>IF(H9=Year_Open_to_Traffic?,Calculations!$E$4,K8+(K8*M9))</f>
        <v>26307265.051468864</v>
      </c>
      <c r="L9" s="60">
        <f>IF(AND(H9&gt;=Year_Open_to_Traffic?, Calculations!H9&lt;Year_Open_to_Traffic?+'Inputs &amp; Outputs'!B$21), 1, 0)</f>
        <v>1</v>
      </c>
      <c r="M9" s="81">
        <f t="shared" si="5"/>
        <v>2.9949396413645468E-2</v>
      </c>
      <c r="N9" s="87">
        <f t="shared" si="6"/>
        <v>0.73346609654776895</v>
      </c>
      <c r="O9" s="88">
        <f t="shared" si="7"/>
        <v>1</v>
      </c>
      <c r="P9" s="84">
        <f t="shared" si="8"/>
        <v>1855168.3165950626</v>
      </c>
      <c r="Q9" s="85">
        <f t="shared" si="0"/>
        <v>1</v>
      </c>
      <c r="R9" s="86">
        <f t="shared" si="1"/>
        <v>19.863344048684343</v>
      </c>
      <c r="S9" s="94">
        <f t="shared" si="2"/>
        <v>51221.286691637339</v>
      </c>
      <c r="T9" s="80">
        <f t="shared" si="9"/>
        <v>36520.069506508175</v>
      </c>
      <c r="W9" s="73"/>
    </row>
    <row r="10" spans="1:24" x14ac:dyDescent="0.25">
      <c r="D10" s="18" t="s">
        <v>82</v>
      </c>
      <c r="E10" s="23">
        <f>_2045_PeakVolume/_2045_Capacity</f>
        <v>0.9030928531480904</v>
      </c>
      <c r="F10" s="28"/>
      <c r="H10" s="59">
        <f t="shared" si="3"/>
        <v>2024</v>
      </c>
      <c r="I10" s="97">
        <f t="shared" si="10"/>
        <v>107869.21043957226</v>
      </c>
      <c r="J10" s="60">
        <f t="shared" si="4"/>
        <v>29005881.24897695</v>
      </c>
      <c r="K10" s="60">
        <f>IF(H10=Year_Open_to_Traffic?,Calculations!$E$4,K9+(K9*M10))</f>
        <v>27095151.761054147</v>
      </c>
      <c r="L10" s="60">
        <f>IF(AND(H10&gt;=Year_Open_to_Traffic?, Calculations!H10&lt;Year_Open_to_Traffic?+'Inputs &amp; Outputs'!B$21), 1, 0)</f>
        <v>1</v>
      </c>
      <c r="M10" s="81">
        <f t="shared" si="5"/>
        <v>2.9949396413645468E-2</v>
      </c>
      <c r="N10" s="87">
        <f t="shared" si="6"/>
        <v>0.75161041803536255</v>
      </c>
      <c r="O10" s="88">
        <f t="shared" si="7"/>
        <v>1</v>
      </c>
      <c r="P10" s="84">
        <f>(J10-K10)*L10</f>
        <v>1910729.4879228026</v>
      </c>
      <c r="Q10" s="85">
        <f t="shared" si="0"/>
        <v>1</v>
      </c>
      <c r="R10" s="86">
        <f t="shared" si="1"/>
        <v>20.320200961804083</v>
      </c>
      <c r="S10" s="94">
        <f t="shared" si="2"/>
        <v>53968.705977748534</v>
      </c>
      <c r="T10" s="80">
        <f t="shared" si="9"/>
        <v>35961.627557712469</v>
      </c>
      <c r="W10" s="73"/>
    </row>
    <row r="11" spans="1:24" ht="30" customHeight="1" x14ac:dyDescent="0.25">
      <c r="A11" s="153" t="s">
        <v>219</v>
      </c>
      <c r="B11" s="154"/>
      <c r="D11" s="18" t="s">
        <v>70</v>
      </c>
      <c r="E11" s="46">
        <f>(E9/E8)^(1/(2025-2018))-1</f>
        <v>2.4737778028179003E-2</v>
      </c>
      <c r="F11" s="28"/>
      <c r="H11" s="15">
        <f t="shared" si="3"/>
        <v>2025</v>
      </c>
      <c r="I11" s="97">
        <f t="shared" si="10"/>
        <v>111099.82818385396</v>
      </c>
      <c r="J11" s="60">
        <f t="shared" si="4"/>
        <v>29874589.884829685</v>
      </c>
      <c r="K11" s="60">
        <f>IF(H11=Year_Open_to_Traffic?,Calculations!$E$4,K10+(K10*M11))</f>
        <v>27906635.20203384</v>
      </c>
      <c r="L11" s="60">
        <f>IF(AND(H11&gt;=Year_Open_to_Traffic?, Calculations!H11&lt;Year_Open_to_Traffic?+'Inputs &amp; Outputs'!B$21), 1, 0)</f>
        <v>1</v>
      </c>
      <c r="M11" s="81">
        <f t="shared" si="5"/>
        <v>2.9949396413645468E-2</v>
      </c>
      <c r="N11" s="87">
        <f t="shared" si="6"/>
        <v>0.77020358972038816</v>
      </c>
      <c r="O11" s="88">
        <f t="shared" si="7"/>
        <v>1</v>
      </c>
      <c r="P11" s="84">
        <f t="shared" si="8"/>
        <v>1967954.682795845</v>
      </c>
      <c r="Q11" s="85">
        <f t="shared" si="0"/>
        <v>1</v>
      </c>
      <c r="R11" s="86">
        <f t="shared" si="1"/>
        <v>20.787565583925574</v>
      </c>
      <c r="S11" s="94">
        <f t="shared" si="2"/>
        <v>56863.491978388789</v>
      </c>
      <c r="T11" s="80">
        <f t="shared" si="9"/>
        <v>35411.724952198136</v>
      </c>
      <c r="W11" s="73"/>
    </row>
    <row r="12" spans="1:24" x14ac:dyDescent="0.25">
      <c r="A12" s="18" t="s">
        <v>205</v>
      </c>
      <c r="B12" s="19">
        <v>0.45</v>
      </c>
      <c r="D12" s="18" t="s">
        <v>83</v>
      </c>
      <c r="E12" s="46">
        <f>(E10/E9)^(1/(2045-2025))-1</f>
        <v>7.9902779080378572E-3</v>
      </c>
      <c r="F12" s="28"/>
      <c r="H12" s="59">
        <v>2026</v>
      </c>
      <c r="I12" s="97">
        <f t="shared" si="10"/>
        <v>111987.16569719752</v>
      </c>
      <c r="J12" s="60">
        <f t="shared" si="4"/>
        <v>30113193.712881472</v>
      </c>
      <c r="K12" s="60">
        <f>IF(H12=Year_Open_to_Traffic?,Calculations!$E$4,K11+(K11*M12))</f>
        <v>28129521.273873486</v>
      </c>
      <c r="L12" s="60">
        <f>IF(AND(H12&gt;=Year_Open_to_Traffic?, Calculations!H12&lt;Year_Open_to_Traffic?+'Inputs &amp; Outputs'!B$21), 1, 0)</f>
        <v>1</v>
      </c>
      <c r="M12" s="81">
        <f t="shared" ref="M12:M36" si="11">IFERROR(_2025_2045_Demand_Growth,_2018_2045_Demand_Growth)</f>
        <v>7.9868486553835716E-3</v>
      </c>
      <c r="N12" s="87">
        <f t="shared" ref="N12:N36" si="12">N11*(1+IFERROR(_2025_2045_V_C_Growth,_2018_2045_V_C_Growth))</f>
        <v>0.77635773044802248</v>
      </c>
      <c r="O12" s="88">
        <f t="shared" si="7"/>
        <v>1</v>
      </c>
      <c r="P12" s="84">
        <f t="shared" si="8"/>
        <v>1983672.4390079863</v>
      </c>
      <c r="Q12" s="85">
        <f t="shared" si="0"/>
        <v>1</v>
      </c>
      <c r="R12" s="86">
        <f t="shared" si="1"/>
        <v>21.265679592355859</v>
      </c>
      <c r="S12" s="94">
        <f t="shared" si="2"/>
        <v>58635.958080741955</v>
      </c>
      <c r="T12" s="80">
        <f t="shared" si="9"/>
        <v>34126.661457885755</v>
      </c>
      <c r="W12" s="73"/>
    </row>
    <row r="13" spans="1:24" x14ac:dyDescent="0.25">
      <c r="A13" s="18" t="s">
        <v>206</v>
      </c>
      <c r="B13" s="19">
        <v>0.43</v>
      </c>
      <c r="D13" s="18" t="s">
        <v>84</v>
      </c>
      <c r="E13" s="46">
        <f>(E10/E8)^(1/(2045-2018))-1</f>
        <v>1.2305758444614234E-2</v>
      </c>
      <c r="F13" s="28"/>
      <c r="H13" s="15">
        <f t="shared" si="3"/>
        <v>2027</v>
      </c>
      <c r="I13" s="97">
        <f t="shared" si="10"/>
        <v>112881.5902409664</v>
      </c>
      <c r="J13" s="60">
        <f t="shared" si="4"/>
        <v>30353703.233596504</v>
      </c>
      <c r="K13" s="60">
        <f>IF(H13=Year_Open_to_Traffic?,Calculations!$E$4,K12+(K12*M13))</f>
        <v>28354187.503036305</v>
      </c>
      <c r="L13" s="60">
        <f>IF(AND(H13&gt;=Year_Open_to_Traffic?, Calculations!H13&lt;Year_Open_to_Traffic?+'Inputs &amp; Outputs'!B$21), 1, 0)</f>
        <v>1</v>
      </c>
      <c r="M13" s="81">
        <f t="shared" si="11"/>
        <v>7.9868486553835716E-3</v>
      </c>
      <c r="N13" s="87">
        <f t="shared" si="12"/>
        <v>0.78256104447035568</v>
      </c>
      <c r="O13" s="88">
        <f t="shared" si="7"/>
        <v>1</v>
      </c>
      <c r="P13" s="84">
        <f t="shared" si="8"/>
        <v>1999515.7305601984</v>
      </c>
      <c r="Q13" s="85">
        <f t="shared" si="0"/>
        <v>1</v>
      </c>
      <c r="R13" s="86">
        <f t="shared" si="1"/>
        <v>21.754790222980041</v>
      </c>
      <c r="S13" s="94">
        <f t="shared" si="2"/>
        <v>60463.672919581259</v>
      </c>
      <c r="T13" s="80">
        <f t="shared" si="9"/>
        <v>32888.231901531632</v>
      </c>
      <c r="W13" s="73"/>
    </row>
    <row r="14" spans="1:24" x14ac:dyDescent="0.25">
      <c r="H14" s="59">
        <f>H13+1</f>
        <v>2028</v>
      </c>
      <c r="I14" s="97">
        <f t="shared" si="10"/>
        <v>113783.15841820002</v>
      </c>
      <c r="J14" s="60">
        <f t="shared" si="4"/>
        <v>30596133.667453665</v>
      </c>
      <c r="K14" s="60">
        <f>IF(H14=Year_Open_to_Traffic?,Calculations!$E$4,K13+(K13*M14))</f>
        <v>28580648.107369423</v>
      </c>
      <c r="L14" s="60">
        <f>IF(AND(H14&gt;=Year_Open_to_Traffic?, Calculations!H14&lt;Year_Open_to_Traffic?+'Inputs &amp; Outputs'!B$21), 1, 0)</f>
        <v>0</v>
      </c>
      <c r="M14" s="81">
        <f t="shared" si="11"/>
        <v>7.9868486553835716E-3</v>
      </c>
      <c r="N14" s="87">
        <f t="shared" si="12"/>
        <v>0.78881392469567824</v>
      </c>
      <c r="O14" s="88">
        <f t="shared" si="7"/>
        <v>1</v>
      </c>
      <c r="P14" s="84">
        <f t="shared" si="8"/>
        <v>0</v>
      </c>
      <c r="Q14" s="85">
        <f t="shared" si="0"/>
        <v>0</v>
      </c>
      <c r="R14" s="86">
        <f t="shared" si="1"/>
        <v>22.255150398108579</v>
      </c>
      <c r="S14" s="94">
        <f t="shared" si="2"/>
        <v>0</v>
      </c>
      <c r="T14" s="80">
        <f t="shared" si="9"/>
        <v>0</v>
      </c>
      <c r="W14" s="73"/>
    </row>
    <row r="15" spans="1:24" x14ac:dyDescent="0.25">
      <c r="H15" s="15">
        <f t="shared" si="3"/>
        <v>2029</v>
      </c>
      <c r="I15" s="97">
        <f t="shared" si="10"/>
        <v>114691.92728401771</v>
      </c>
      <c r="J15" s="60">
        <f t="shared" si="4"/>
        <v>30840500.356495503</v>
      </c>
      <c r="K15" s="60">
        <f>IF(H15=Year_Open_to_Traffic?,Calculations!$E$4,K14+(K14*M15))</f>
        <v>28808917.418275759</v>
      </c>
      <c r="L15" s="60">
        <f>IF(AND(H15&gt;=Year_Open_to_Traffic?, Calculations!H15&lt;Year_Open_to_Traffic?+'Inputs &amp; Outputs'!B$21), 1, 0)</f>
        <v>0</v>
      </c>
      <c r="M15" s="81">
        <f t="shared" si="11"/>
        <v>7.9868486553835716E-3</v>
      </c>
      <c r="N15" s="87">
        <f t="shared" si="12"/>
        <v>0.79511676717172675</v>
      </c>
      <c r="O15" s="88">
        <f t="shared" si="7"/>
        <v>1</v>
      </c>
      <c r="P15" s="84">
        <f t="shared" si="8"/>
        <v>0</v>
      </c>
      <c r="Q15" s="85">
        <f t="shared" si="0"/>
        <v>0</v>
      </c>
      <c r="R15" s="86">
        <f t="shared" si="1"/>
        <v>22.767018857265079</v>
      </c>
      <c r="S15" s="94">
        <f t="shared" si="2"/>
        <v>0</v>
      </c>
      <c r="T15" s="80">
        <f t="shared" si="9"/>
        <v>0</v>
      </c>
      <c r="W15" s="73"/>
    </row>
    <row r="16" spans="1:24" x14ac:dyDescent="0.25">
      <c r="H16" s="59">
        <f t="shared" si="3"/>
        <v>2030</v>
      </c>
      <c r="I16" s="97">
        <f t="shared" si="10"/>
        <v>115607.95434922942</v>
      </c>
      <c r="J16" s="60">
        <f t="shared" si="4"/>
        <v>31086818.765299138</v>
      </c>
      <c r="K16" s="60">
        <f>IF(H16=Year_Open_to_Traffic?,Calculations!$E$4,K15+(K15*M16))</f>
        <v>29039009.88162097</v>
      </c>
      <c r="L16" s="60">
        <f>IF(AND(H16&gt;=Year_Open_to_Traffic?, Calculations!H16&lt;Year_Open_to_Traffic?+'Inputs &amp; Outputs'!B$21), 1, 0)</f>
        <v>0</v>
      </c>
      <c r="M16" s="81">
        <f t="shared" si="11"/>
        <v>7.9868486553835716E-3</v>
      </c>
      <c r="N16" s="87">
        <f t="shared" si="12"/>
        <v>0.80146997111076945</v>
      </c>
      <c r="O16" s="88">
        <f t="shared" si="7"/>
        <v>1</v>
      </c>
      <c r="P16" s="84">
        <f t="shared" si="8"/>
        <v>0</v>
      </c>
      <c r="Q16" s="85">
        <f t="shared" si="0"/>
        <v>0</v>
      </c>
      <c r="R16" s="86">
        <f t="shared" si="1"/>
        <v>23.290660290982171</v>
      </c>
      <c r="S16" s="94">
        <f t="shared" si="2"/>
        <v>0</v>
      </c>
      <c r="T16" s="80">
        <f t="shared" si="9"/>
        <v>0</v>
      </c>
      <c r="W16" s="73"/>
    </row>
    <row r="17" spans="1:23" x14ac:dyDescent="0.25">
      <c r="A17" s="29"/>
      <c r="H17" s="15">
        <f t="shared" si="3"/>
        <v>2031</v>
      </c>
      <c r="I17" s="97">
        <f t="shared" si="10"/>
        <v>116531.2975839752</v>
      </c>
      <c r="J17" s="60">
        <f t="shared" si="4"/>
        <v>31335104.481954921</v>
      </c>
      <c r="K17" s="60">
        <f>IF(H17=Year_Open_to_Traffic?,Calculations!$E$4,K16+(K16*M17))</f>
        <v>29270940.058647666</v>
      </c>
      <c r="L17" s="60">
        <f>IF(AND(H17&gt;=Year_Open_to_Traffic?, Calculations!H17&lt;Year_Open_to_Traffic?+'Inputs &amp; Outputs'!B$21), 1, 0)</f>
        <v>0</v>
      </c>
      <c r="M17" s="81">
        <f t="shared" si="11"/>
        <v>7.9868486553835716E-3</v>
      </c>
      <c r="N17" s="87">
        <f t="shared" si="12"/>
        <v>0.80787393891489157</v>
      </c>
      <c r="O17" s="88">
        <f t="shared" si="7"/>
        <v>1</v>
      </c>
      <c r="P17" s="84">
        <f t="shared" si="8"/>
        <v>0</v>
      </c>
      <c r="Q17" s="85">
        <f t="shared" si="0"/>
        <v>0</v>
      </c>
      <c r="R17" s="86">
        <f t="shared" si="1"/>
        <v>23.82634547767476</v>
      </c>
      <c r="S17" s="94">
        <f t="shared" si="2"/>
        <v>0</v>
      </c>
      <c r="T17" s="80">
        <f t="shared" si="9"/>
        <v>0</v>
      </c>
      <c r="W17" s="73"/>
    </row>
    <row r="18" spans="1:23" x14ac:dyDescent="0.25">
      <c r="H18" s="59">
        <f t="shared" si="3"/>
        <v>2032</v>
      </c>
      <c r="I18" s="97">
        <f t="shared" si="10"/>
        <v>117462.01542139388</v>
      </c>
      <c r="J18" s="60">
        <f t="shared" si="4"/>
        <v>31585373.219052926</v>
      </c>
      <c r="K18" s="60">
        <f>IF(H18=Year_Open_to_Traffic?,Calculations!$E$4,K17+(K17*M18))</f>
        <v>29504722.626896888</v>
      </c>
      <c r="L18" s="60">
        <f>IF(AND(H18&gt;=Year_Open_to_Traffic?, Calculations!H18&lt;Year_Open_to_Traffic?+'Inputs &amp; Outputs'!B$21), 1, 0)</f>
        <v>0</v>
      </c>
      <c r="M18" s="81">
        <f t="shared" si="11"/>
        <v>7.9868486553835716E-3</v>
      </c>
      <c r="N18" s="87">
        <f t="shared" si="12"/>
        <v>0.81432907620148276</v>
      </c>
      <c r="O18" s="88">
        <f t="shared" si="7"/>
        <v>1</v>
      </c>
      <c r="P18" s="84">
        <f t="shared" si="8"/>
        <v>0</v>
      </c>
      <c r="Q18" s="85">
        <f t="shared" si="0"/>
        <v>0</v>
      </c>
      <c r="R18" s="86">
        <f t="shared" si="1"/>
        <v>24.374351423661277</v>
      </c>
      <c r="S18" s="94">
        <f t="shared" si="2"/>
        <v>0</v>
      </c>
      <c r="T18" s="80">
        <f t="shared" si="9"/>
        <v>0</v>
      </c>
      <c r="W18" s="73"/>
    </row>
    <row r="19" spans="1:23" x14ac:dyDescent="0.25">
      <c r="H19" s="15">
        <f t="shared" si="3"/>
        <v>2033</v>
      </c>
      <c r="I19" s="97">
        <f t="shared" si="10"/>
        <v>118400.16676132088</v>
      </c>
      <c r="J19" s="60">
        <f t="shared" si="4"/>
        <v>31837640.814677306</v>
      </c>
      <c r="K19" s="60">
        <f>IF(H19=Year_Open_to_Traffic?,Calculations!$E$4,K18+(K18*M19))</f>
        <v>29740372.381136984</v>
      </c>
      <c r="L19" s="60">
        <f>IF(AND(H19&gt;=Year_Open_to_Traffic?, Calculations!H19&lt;Year_Open_to_Traffic?+'Inputs &amp; Outputs'!B$21), 1, 0)</f>
        <v>0</v>
      </c>
      <c r="M19" s="81">
        <f t="shared" si="11"/>
        <v>7.9868486553835716E-3</v>
      </c>
      <c r="N19" s="87">
        <f t="shared" si="12"/>
        <v>0.8208357918289283</v>
      </c>
      <c r="O19" s="88">
        <f t="shared" si="7"/>
        <v>1</v>
      </c>
      <c r="P19" s="84">
        <f t="shared" si="8"/>
        <v>0</v>
      </c>
      <c r="Q19" s="85">
        <f t="shared" si="0"/>
        <v>0</v>
      </c>
      <c r="R19" s="86">
        <f t="shared" si="1"/>
        <v>24.934961506405479</v>
      </c>
      <c r="S19" s="94">
        <f t="shared" si="2"/>
        <v>0</v>
      </c>
      <c r="T19" s="80">
        <f t="shared" si="9"/>
        <v>0</v>
      </c>
      <c r="W19" s="73"/>
    </row>
    <row r="20" spans="1:23" x14ac:dyDescent="0.25">
      <c r="H20" s="59">
        <f t="shared" si="3"/>
        <v>2034</v>
      </c>
      <c r="I20" s="97">
        <f t="shared" si="10"/>
        <v>119345.81097401574</v>
      </c>
      <c r="J20" s="60">
        <f t="shared" si="4"/>
        <v>32091923.233408596</v>
      </c>
      <c r="K20" s="60">
        <f>IF(H20=Year_Open_to_Traffic?,Calculations!$E$4,K19+(K19*M20))</f>
        <v>29977904.234299876</v>
      </c>
      <c r="L20" s="60">
        <f>IF(AND(H20&gt;=Year_Open_to_Traffic?, Calculations!H20&lt;Year_Open_to_Traffic?+'Inputs &amp; Outputs'!B$21), 1, 0)</f>
        <v>0</v>
      </c>
      <c r="M20" s="81">
        <f t="shared" si="11"/>
        <v>7.9868486553835716E-3</v>
      </c>
      <c r="N20" s="87">
        <f t="shared" si="12"/>
        <v>0.82739449792250575</v>
      </c>
      <c r="O20" s="88">
        <f t="shared" si="7"/>
        <v>1</v>
      </c>
      <c r="P20" s="84">
        <f t="shared" si="8"/>
        <v>0</v>
      </c>
      <c r="Q20" s="85">
        <f t="shared" si="0"/>
        <v>0</v>
      </c>
      <c r="R20" s="86">
        <f t="shared" si="1"/>
        <v>25.508465621052807</v>
      </c>
      <c r="S20" s="94">
        <f t="shared" si="2"/>
        <v>0</v>
      </c>
      <c r="T20" s="80">
        <f t="shared" si="9"/>
        <v>0</v>
      </c>
      <c r="W20" s="73"/>
    </row>
    <row r="21" spans="1:23" x14ac:dyDescent="0.25">
      <c r="H21" s="15">
        <f t="shared" si="3"/>
        <v>2035</v>
      </c>
      <c r="I21" s="97">
        <f t="shared" si="10"/>
        <v>120299.00790391922</v>
      </c>
      <c r="J21" s="60">
        <f t="shared" si="4"/>
        <v>32348236.567334019</v>
      </c>
      <c r="K21" s="60">
        <f>IF(H21=Year_Open_to_Traffic?,Calculations!$E$4,K20+(K20*M21))</f>
        <v>30217333.218424812</v>
      </c>
      <c r="L21" s="60">
        <f>IF(AND(H21&gt;=Year_Open_to_Traffic?, Calculations!H21&lt;Year_Open_to_Traffic?+'Inputs &amp; Outputs'!B$21), 1, 0)</f>
        <v>0</v>
      </c>
      <c r="M21" s="81">
        <f t="shared" si="11"/>
        <v>7.9868486553835716E-3</v>
      </c>
      <c r="N21" s="87">
        <f t="shared" si="12"/>
        <v>0.834005609900488</v>
      </c>
      <c r="O21" s="88">
        <f t="shared" si="7"/>
        <v>1</v>
      </c>
      <c r="P21" s="84">
        <f t="shared" si="8"/>
        <v>0</v>
      </c>
      <c r="Q21" s="85">
        <f t="shared" si="0"/>
        <v>0</v>
      </c>
      <c r="R21" s="86">
        <f t="shared" si="1"/>
        <v>26.095160330337016</v>
      </c>
      <c r="S21" s="94">
        <f t="shared" si="2"/>
        <v>0</v>
      </c>
      <c r="T21" s="80">
        <f t="shared" si="9"/>
        <v>0</v>
      </c>
      <c r="W21" s="73"/>
    </row>
    <row r="22" spans="1:23" x14ac:dyDescent="0.25">
      <c r="H22" s="59">
        <f>H21+1</f>
        <v>2036</v>
      </c>
      <c r="I22" s="97">
        <f t="shared" si="10"/>
        <v>121259.81787344061</v>
      </c>
      <c r="J22" s="60">
        <f t="shared" si="4"/>
        <v>32606597.03706586</v>
      </c>
      <c r="K22" s="60">
        <f>IF(H22=Year_Open_to_Traffic?,Calculations!$E$4,K21+(K21*M22))</f>
        <v>30458674.485609666</v>
      </c>
      <c r="L22" s="60">
        <f>IF(AND(H22&gt;=Year_Open_to_Traffic?, Calculations!H22&lt;Year_Open_to_Traffic?+'Inputs &amp; Outputs'!B$21), 1, 0)</f>
        <v>0</v>
      </c>
      <c r="M22" s="81">
        <f t="shared" si="11"/>
        <v>7.9868486553835716E-3</v>
      </c>
      <c r="N22" s="87">
        <f t="shared" si="12"/>
        <v>0.84066954650045556</v>
      </c>
      <c r="O22" s="88">
        <f t="shared" si="7"/>
        <v>1</v>
      </c>
      <c r="P22" s="84">
        <f t="shared" si="8"/>
        <v>0</v>
      </c>
      <c r="Q22" s="85">
        <f t="shared" si="0"/>
        <v>0</v>
      </c>
      <c r="R22" s="86">
        <f t="shared" si="1"/>
        <v>26.695349017934767</v>
      </c>
      <c r="S22" s="94">
        <f t="shared" si="2"/>
        <v>0</v>
      </c>
      <c r="T22" s="80">
        <f t="shared" si="9"/>
        <v>0</v>
      </c>
      <c r="W22" s="73"/>
    </row>
    <row r="23" spans="1:23" x14ac:dyDescent="0.25">
      <c r="H23" s="15">
        <f t="shared" si="3"/>
        <v>2037</v>
      </c>
      <c r="I23" s="97">
        <f t="shared" si="10"/>
        <v>122228.30168677516</v>
      </c>
      <c r="J23" s="60">
        <f t="shared" si="4"/>
        <v>32867020.992767982</v>
      </c>
      <c r="K23" s="60">
        <f>IF(H23=Year_Open_to_Traffic?,Calculations!$E$4,K22+(K22*M23))</f>
        <v>30701943.308969822</v>
      </c>
      <c r="L23" s="60">
        <f>IF(AND(H23&gt;=Year_Open_to_Traffic?, Calculations!H23&lt;Year_Open_to_Traffic?+'Inputs &amp; Outputs'!B$21), 1, 0)</f>
        <v>0</v>
      </c>
      <c r="M23" s="81">
        <f t="shared" si="11"/>
        <v>7.9868486553835716E-3</v>
      </c>
      <c r="N23" s="87">
        <f t="shared" si="12"/>
        <v>0.84738672980581831</v>
      </c>
      <c r="O23" s="88">
        <f t="shared" si="7"/>
        <v>1</v>
      </c>
      <c r="P23" s="84">
        <f t="shared" si="8"/>
        <v>0</v>
      </c>
      <c r="Q23" s="85">
        <f t="shared" si="0"/>
        <v>0</v>
      </c>
      <c r="R23" s="86">
        <f t="shared" si="1"/>
        <v>27.309342045347261</v>
      </c>
      <c r="S23" s="94">
        <f t="shared" si="2"/>
        <v>0</v>
      </c>
      <c r="T23" s="80">
        <f t="shared" si="9"/>
        <v>0</v>
      </c>
      <c r="W23" s="73"/>
    </row>
    <row r="24" spans="1:23" x14ac:dyDescent="0.25">
      <c r="H24" s="59">
        <f t="shared" si="3"/>
        <v>2038</v>
      </c>
      <c r="I24" s="97">
        <f t="shared" si="10"/>
        <v>123204.52063375199</v>
      </c>
      <c r="J24" s="60">
        <f t="shared" si="4"/>
        <v>33129524.915190537</v>
      </c>
      <c r="K24" s="60">
        <f>IF(H24=Year_Open_to_Traffic?,Calculations!$E$4,K23+(K23*M24))</f>
        <v>30947155.083604731</v>
      </c>
      <c r="L24" s="60">
        <f>IF(AND(H24&gt;=Year_Open_to_Traffic?, Calculations!H24&lt;Year_Open_to_Traffic?+'Inputs &amp; Outputs'!B$21), 1, 0)</f>
        <v>0</v>
      </c>
      <c r="M24" s="81">
        <f t="shared" si="11"/>
        <v>7.9868486553835716E-3</v>
      </c>
      <c r="N24" s="87">
        <f t="shared" si="12"/>
        <v>0.85415758527255015</v>
      </c>
      <c r="O24" s="88">
        <f t="shared" si="7"/>
        <v>1</v>
      </c>
      <c r="P24" s="84">
        <f>(J24-K24)*L24</f>
        <v>0</v>
      </c>
      <c r="Q24" s="85">
        <f t="shared" si="0"/>
        <v>0</v>
      </c>
      <c r="R24" s="86">
        <f t="shared" si="1"/>
        <v>27.93745691239025</v>
      </c>
      <c r="S24" s="94">
        <f t="shared" si="2"/>
        <v>0</v>
      </c>
      <c r="T24" s="80">
        <f t="shared" si="9"/>
        <v>0</v>
      </c>
      <c r="W24" s="73"/>
    </row>
    <row r="25" spans="1:23" x14ac:dyDescent="0.25">
      <c r="H25" s="15">
        <f t="shared" si="3"/>
        <v>2039</v>
      </c>
      <c r="I25" s="97">
        <f t="shared" si="10"/>
        <v>124188.53649371285</v>
      </c>
      <c r="J25" s="60">
        <f t="shared" si="4"/>
        <v>33394125.416712921</v>
      </c>
      <c r="K25" s="60">
        <f>IF(H25=Year_Open_to_Traffic?,Calculations!$E$4,K24+(K24*M25))</f>
        <v>31194325.327572167</v>
      </c>
      <c r="L25" s="60">
        <f>IF(AND(H25&gt;=Year_Open_to_Traffic?, Calculations!H25&lt;Year_Open_to_Traffic?+'Inputs &amp; Outputs'!B$21), 1, 0)</f>
        <v>0</v>
      </c>
      <c r="M25" s="81">
        <f t="shared" si="11"/>
        <v>7.9868486553835716E-3</v>
      </c>
      <c r="N25" s="87">
        <f t="shared" si="12"/>
        <v>0.86098254175613631</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125180.41153942171</v>
      </c>
      <c r="J26" s="60">
        <f t="shared" si="4"/>
        <v>33660839.242395103</v>
      </c>
      <c r="K26" s="60">
        <f>IF(H26=Year_Open_to_Traffic?,Calculations!$E$4,K25+(K25*M26))</f>
        <v>31443469.682870284</v>
      </c>
      <c r="L26" s="60">
        <f>IF(AND(H26&gt;=Year_Open_to_Traffic?, Calculations!H26&lt;Year_Open_to_Traffic?+'Inputs &amp; Outputs'!B$21), 1, 0)</f>
        <v>0</v>
      </c>
      <c r="M26" s="81">
        <f t="shared" si="11"/>
        <v>7.9868486553835716E-3</v>
      </c>
      <c r="N26" s="87">
        <f t="shared" si="12"/>
        <v>0.86786203153873664</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126180.2085410057</v>
      </c>
      <c r="J27" s="60">
        <f t="shared" si="4"/>
        <v>33929683.27103731</v>
      </c>
      <c r="K27" s="60">
        <f>IF(H27=Year_Open_to_Traffic?,Calculations!$E$4,K26+(K26*M27))</f>
        <v>31694603.916427512</v>
      </c>
      <c r="L27" s="60">
        <f>IF(AND(H27&gt;=Year_Open_to_Traffic?, Calculations!H27&lt;Year_Open_to_Traffic?+'Inputs &amp; Outputs'!B$21), 1, 0)</f>
        <v>0</v>
      </c>
      <c r="M27" s="81">
        <f t="shared" si="11"/>
        <v>7.9868486553835716E-3</v>
      </c>
      <c r="N27" s="87">
        <f t="shared" si="12"/>
        <v>0.87479649035656548</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127187.99076992745</v>
      </c>
      <c r="J28" s="60">
        <f t="shared" si="4"/>
        <v>34200674.516248181</v>
      </c>
      <c r="K28" s="60">
        <f>IF(H28=Year_Open_to_Traffic?,Calculations!$E$4,K27+(K27*M28))</f>
        <v>31947743.921100345</v>
      </c>
      <c r="L28" s="60">
        <f>IF(AND(H28&gt;=Year_Open_to_Traffic?, Calculations!H28&lt;Year_Open_to_Traffic?+'Inputs &amp; Outputs'!B$21), 1, 0)</f>
        <v>0</v>
      </c>
      <c r="M28" s="81">
        <f t="shared" si="11"/>
        <v>7.9868486553835716E-3</v>
      </c>
      <c r="N28" s="87">
        <f t="shared" si="12"/>
        <v>0.88178635742749056</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128203.82200298918</v>
      </c>
      <c r="J29" s="60">
        <f t="shared" si="4"/>
        <v>34473830.127521493</v>
      </c>
      <c r="K29" s="60">
        <f>IF(H29=Year_Open_to_Traffic?,Calculations!$E$4,K28+(K28*M29))</f>
        <v>32202905.716679122</v>
      </c>
      <c r="L29" s="60">
        <f>IF(AND(H29&gt;=Year_Open_to_Traffic?, Calculations!H29&lt;Year_Open_to_Traffic?+'Inputs &amp; Outputs'!B$21), 1, 0)</f>
        <v>0</v>
      </c>
      <c r="M29" s="81">
        <f t="shared" si="11"/>
        <v>7.9868486553835716E-3</v>
      </c>
      <c r="N29" s="87">
        <f t="shared" si="12"/>
        <v>0.88883207547885257</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129227.7665263688</v>
      </c>
      <c r="J30" s="60">
        <f t="shared" si="4"/>
        <v>34749167.391321406</v>
      </c>
      <c r="K30" s="60">
        <f>IF(H30=Year_Open_to_Traffic?,Calculations!$E$4,K29+(K29*M30))</f>
        <v>32460105.450901825</v>
      </c>
      <c r="L30" s="60">
        <f>IF(AND(H30&gt;=Year_Open_to_Traffic?, Calculations!H30&lt;Year_Open_to_Traffic?+'Inputs &amp; Outputs'!B$21), 1, 0)</f>
        <v>0</v>
      </c>
      <c r="M30" s="81">
        <f t="shared" si="11"/>
        <v>7.9868486553835716E-3</v>
      </c>
      <c r="N30" s="87">
        <f t="shared" si="12"/>
        <v>0.89593409077550668</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130259.88913968815</v>
      </c>
      <c r="J31" s="60">
        <f t="shared" si="4"/>
        <v>35026703.732176483</v>
      </c>
      <c r="K31" s="60">
        <f>IF(H31=Year_Open_to_Traffic?,Calculations!$E$4,K30+(K30*M31))</f>
        <v>32719359.400475968</v>
      </c>
      <c r="L31" s="60">
        <f>IF(AND(H31&gt;=Year_Open_to_Traffic?, Calculations!H31&lt;Year_Open_to_Traffic?+'Inputs &amp; Outputs'!B$21), 1, 0)</f>
        <v>0</v>
      </c>
      <c r="M31" s="81">
        <f t="shared" si="11"/>
        <v>7.9868486553835716E-3</v>
      </c>
      <c r="N31" s="87">
        <f t="shared" si="12"/>
        <v>0.90309285314808818</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131300.25516011388</v>
      </c>
      <c r="J32" s="60">
        <f t="shared" si="4"/>
        <v>35306456.713782333</v>
      </c>
      <c r="K32" s="60">
        <f>IF(H32=Year_Open_to_Traffic?,Calculations!$E$4,K31+(K31*M32))</f>
        <v>32980683.97210867</v>
      </c>
      <c r="L32" s="60">
        <f>IF(AND(H32&gt;=Year_Open_to_Traffic?, Calculations!H32&lt;Year_Open_to_Traffic?+'Inputs &amp; Outputs'!B$21), 1, 0)</f>
        <v>0</v>
      </c>
      <c r="M32" s="81">
        <f t="shared" si="11"/>
        <v>7.9868486553835716E-3</v>
      </c>
      <c r="N32" s="87">
        <f t="shared" si="12"/>
        <v>0.91030881602150426</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132348.93042649096</v>
      </c>
      <c r="J33" s="60">
        <f t="shared" si="4"/>
        <v>35588444.040113166</v>
      </c>
      <c r="K33" s="60">
        <f>IF(H33=Year_Open_to_Traffic?,Calculations!$E$4,K32+(K32*M33))</f>
        <v>33244095.703544937</v>
      </c>
      <c r="L33" s="60">
        <f>IF(AND(H33&gt;=Year_Open_to_Traffic?, Calculations!H33&lt;Year_Open_to_Traffic?+'Inputs &amp; Outputs'!B$21), 1, 0)</f>
        <v>0</v>
      </c>
      <c r="M33" s="81">
        <f t="shared" si="11"/>
        <v>7.9868486553835716E-3</v>
      </c>
      <c r="N33" s="87">
        <f t="shared" si="12"/>
        <v>0.917582436443653</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133405.98130350924</v>
      </c>
      <c r="J34" s="60">
        <f t="shared" si="4"/>
        <v>35872683.556542136</v>
      </c>
      <c r="K34" s="60">
        <f>IF(H34=Year_Open_to_Traffic?,Calculations!$E$4,K33+(K33*M34))</f>
        <v>33509611.264614239</v>
      </c>
      <c r="L34" s="60">
        <f>IF(AND(H34&gt;=Year_Open_to_Traffic?, Calculations!H34&lt;Year_Open_to_Traffic?+'Inputs &amp; Outputs'!B$21), 1, 0)</f>
        <v>0</v>
      </c>
      <c r="M34" s="81">
        <f t="shared" si="11"/>
        <v>7.9868486553835716E-3</v>
      </c>
      <c r="N34" s="87">
        <f t="shared" si="12"/>
        <v>0.92491417511437224</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134471.47468590329</v>
      </c>
      <c r="J35" s="60">
        <f t="shared" si="4"/>
        <v>36159193.250970706</v>
      </c>
      <c r="K35" s="60">
        <f>IF(H35=Year_Open_to_Traffic?,Calculations!$E$4,K34+(K34*M35))</f>
        <v>33777247.458285451</v>
      </c>
      <c r="L35" s="60">
        <f>IF(AND(H35&gt;=Year_Open_to_Traffic?, Calculations!H35&lt;Year_Open_to_Traffic?+'Inputs &amp; Outputs'!B$21), 1, 0)</f>
        <v>0</v>
      </c>
      <c r="M35" s="81">
        <f t="shared" si="11"/>
        <v>7.9868486553835716E-3</v>
      </c>
      <c r="N35" s="87">
        <f t="shared" si="12"/>
        <v>0.93230449641461965</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135545.47800268585</v>
      </c>
      <c r="J36" s="60">
        <f t="shared" si="4"/>
        <v>36447991.254966974</v>
      </c>
      <c r="K36" s="60">
        <f>IF(H36=Year_Open_to_Traffic?,Calculations!$E$4,K35+(K35*M36))</f>
        <v>34047021.221730217</v>
      </c>
      <c r="L36" s="60">
        <f>IF(AND(H36&gt;=Year_Open_to_Traffic?, Calculations!H36&lt;Year_Open_to_Traffic?+'Inputs &amp; Outputs'!B$21), 1, 0)</f>
        <v>0</v>
      </c>
      <c r="M36" s="81">
        <f t="shared" si="11"/>
        <v>7.9868486553835716E-3</v>
      </c>
      <c r="N36" s="87">
        <f t="shared" si="12"/>
        <v>0.93975386843588571</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249658.60269756947</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Koff, Russell P.</cp:lastModifiedBy>
  <cp:lastPrinted>2018-07-16T14:36:56Z</cp:lastPrinted>
  <dcterms:created xsi:type="dcterms:W3CDTF">2012-07-25T15:48:32Z</dcterms:created>
  <dcterms:modified xsi:type="dcterms:W3CDTF">2018-10-18T16:23:14Z</dcterms:modified>
</cp:coreProperties>
</file>