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CON - Sidewalks\"/>
    </mc:Choice>
  </mc:AlternateContent>
  <xr:revisionPtr revIDLastSave="0" documentId="13_ncr:1_{5E8C618C-C163-46DD-8561-A7FFBA61E5E8}" xr6:coauthVersionLast="37" xr6:coauthVersionMax="37" xr10:uidLastSave="{00000000-0000-0000-0000-000000000000}"/>
  <bookViews>
    <workbookView xWindow="3000" yWindow="0" windowWidth="20040" windowHeight="901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s="1"/>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s="1"/>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<sst xmlns="http://schemas.openxmlformats.org/spreadsheetml/2006/main" count="273" uniqueCount="139">
  <si>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</si>
  <si>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</si>
  <si>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</si>
  <si>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</si>
  <si>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</si>
  <si>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</si>
  <si>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</si>
  <si>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</si>
  <si>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</si>
  <si>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</si>
  <si>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</si>
  <si>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</si>
  <si>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</si>
  <si>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</si>
  <si>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</si>
  <si>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</si>
  <si>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</si>
  <si>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</si>
  <si>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</si>
  <si>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</si>
  <si>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</si>
  <si>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</si>
  <si>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</si>
  <si>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</si>
  <si>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</si>
  <si>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</si>
  <si>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</si>
  <si>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</si>
  <si>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</si>
  <si>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</si>
  <si>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</si>
  <si>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</si>
  <si>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</si>
  <si>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</si>
  <si>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</si>
  <si>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</si>
  <si>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</si>
  <si>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</si>
  <si>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</si>
  <si>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</si>
  <si>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</si>
  <si>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</si>
  <si>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</si>
  <si>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</si>
  <si>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</si>
  <si>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</si>
  <si>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</si>
  <si>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</si>
  <si>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</si>
  <si>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</si>
  <si>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</si>
  <si>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</si>
  <si>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</si>
  <si>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</si>
  <si>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</si>
  <si>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</si>
  <si>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</si>
  <si>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</si>
  <si>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</si>
  <si>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</si>
  <si>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</si>
  <si>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</si>
  <si>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</si>
  <si>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</si>
  <si>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</si>
  <si>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</si>
  <si>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</si>
  <si>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</si>
  <si>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</si>
  <si>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</si>
  <si>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</si>
  <si>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</si>
  <si>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</si>
  <si>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</si>
  <si>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</si>
  <si>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</si>
  <si>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</si>
  <si>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</si>
  <si>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</si>
  <si>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</si>
  <si>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</si>
  <si>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</si>
  <si>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</si>
  <si>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</si>
  <si>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</si>
  <si>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</si>
  <si>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</si>
  <si>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</si>
  <si>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</si>
  <si>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</si>
  <si>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</si>
  <si>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</si>
  <si>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</si>
  <si>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</si>
  <si>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</si>
  <si>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</si>
  <si>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</si>
  <si>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</si>
  <si>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</si>
  <si>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</si>
  <si>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</si>
  <si>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</si>
  <si>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</si>
  <si>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</si>
  <si>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</si>
  <si>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</si>
  <si>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</si>
  <si>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</si>
  <si>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</si>
  <si>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</si>
  <si>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</si>
  <si>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</si>
  <si>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</si>
  <si>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</si>
  <si>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</si>
  <si>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</si>
  <si>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</si>
  <si>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</si>
  <si>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</si>
  <si>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</si>
  <si>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</si>
  <si>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</si>
  <si>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</si>
  <si>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</si>
  <si>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</si>
  <si>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</si>
  <si>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</si>
  <si>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</si>
  <si>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</si>
  <si>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</si>
  <si>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</si>
  <si>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</si>
  <si>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</si>
  <si>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</si>
  <si>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</si>
  <si>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</si>
  <si>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</si>
  <si>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</si>
  <si>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Conroe Pedestrian-Transit Access and Mobility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</si>
</sst>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M10" sqref="M10"/>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4.4" x14ac:dyDescent="0.3"/>
  <cols>
    <col min="3" max="3" width="34.6640625" bestFit="1" customWidth="1"/>
    <col min="4" max="4" width="11.109375" bestFit="1" customWidth="1"/>
  </cols>
  <sheetData>
    <row r="3" spans="3:4" x14ac:dyDescent="0.3">
      <c r="C3" s="32" t="s">
        <v>87</v>
      </c>
      <c r="D3" s="98" t="s">
        <v>122</v>
      </c>
    </row>
    <row r="4" spans="3:4" x14ac:dyDescent="0.3">
      <c r="C4" s="76" t="s">
        <v>123</v>
      </c>
      <c r="D4" s="99">
        <v>12</v>
      </c>
    </row>
    <row r="5" spans="3:4" x14ac:dyDescent="0.3">
      <c r="C5" s="76" t="s">
        <v>124</v>
      </c>
      <c r="D5" s="99">
        <v>12</v>
      </c>
    </row>
    <row r="6" spans="3:4" x14ac:dyDescent="0.3">
      <c r="C6" s="76" t="s">
        <v>125</v>
      </c>
      <c r="D6" s="99">
        <v>12</v>
      </c>
    </row>
    <row r="7" spans="3:4" x14ac:dyDescent="0.3">
      <c r="C7" s="100" t="s">
        <v>126</v>
      </c>
      <c r="D7" s="99">
        <v>12</v>
      </c>
    </row>
    <row r="8" spans="3:4" x14ac:dyDescent="0.3">
      <c r="C8" s="100" t="s">
        <v>127</v>
      </c>
      <c r="D8" s="99">
        <v>12</v>
      </c>
    </row>
    <row r="9" spans="3:4" x14ac:dyDescent="0.3">
      <c r="C9" s="76" t="s">
        <v>128</v>
      </c>
      <c r="D9" s="99">
        <v>12</v>
      </c>
    </row>
    <row r="10" spans="3:4" x14ac:dyDescent="0.3">
      <c r="C10" s="76" t="s">
        <v>129</v>
      </c>
      <c r="D10" s="99">
        <v>12</v>
      </c>
    </row>
    <row r="13" spans="3:4" x14ac:dyDescent="0.3">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3</v>
      </c>
      <c r="D3" s="7" t="s">
        <v>21</v>
      </c>
      <c r="E3" s="8" t="s">
        <v>12</v>
      </c>
      <c r="G3" s="14" t="s">
        <v>16</v>
      </c>
      <c r="H3" s="14"/>
      <c r="I3" s="14" t="s">
        <v>22</v>
      </c>
      <c r="J3" s="14" t="s">
        <v>47</v>
      </c>
    </row>
    <row r="4" spans="1:10" x14ac:dyDescent="0.3">
      <c r="A4" s="5" t="s">
        <v>8</v>
      </c>
      <c r="B4" s="6"/>
      <c r="D4" s="5" t="s">
        <v>44</v>
      </c>
      <c r="E4" s="45">
        <v>2015</v>
      </c>
      <c r="G4" s="12">
        <f>E4</f>
        <v>2015</v>
      </c>
      <c r="H4" s="12">
        <f>IF(G4&lt;2041,1,0)</f>
        <v>1</v>
      </c>
      <c r="I4" s="21">
        <f>IF($G4&lt;($G$4+$E$5),$E$17,0)*H4</f>
        <v>0</v>
      </c>
      <c r="J4" s="34" t="e">
        <f>I4*$B$18*$B$19/10^3</f>
        <v>#REF!</v>
      </c>
    </row>
    <row r="5" spans="1:10" x14ac:dyDescent="0.3">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3">
      <c r="A6" s="5" t="s">
        <v>10</v>
      </c>
      <c r="B6" s="6">
        <v>1</v>
      </c>
      <c r="D6" s="112" t="s">
        <v>32</v>
      </c>
      <c r="E6" s="113"/>
      <c r="G6" s="12">
        <f t="shared" si="0"/>
        <v>2017</v>
      </c>
      <c r="H6" s="12">
        <f t="shared" si="1"/>
        <v>1</v>
      </c>
      <c r="I6" s="21">
        <f t="shared" si="2"/>
        <v>0</v>
      </c>
      <c r="J6" s="34" t="e">
        <f t="shared" si="3"/>
        <v>#REF!</v>
      </c>
    </row>
    <row r="7" spans="1:10" x14ac:dyDescent="0.3">
      <c r="A7" s="5" t="s">
        <v>45</v>
      </c>
      <c r="B7" s="23"/>
      <c r="D7" s="5" t="s">
        <v>42</v>
      </c>
      <c r="E7" s="9"/>
      <c r="G7" s="13">
        <f t="shared" si="0"/>
        <v>2018</v>
      </c>
      <c r="H7" s="13">
        <f t="shared" si="1"/>
        <v>1</v>
      </c>
      <c r="I7" s="21">
        <f t="shared" si="2"/>
        <v>0</v>
      </c>
      <c r="J7" s="41" t="e">
        <f t="shared" si="3"/>
        <v>#REF!</v>
      </c>
    </row>
    <row r="8" spans="1:10" x14ac:dyDescent="0.3">
      <c r="A8" s="22" t="s">
        <v>46</v>
      </c>
      <c r="B8" s="23"/>
      <c r="D8" s="5" t="s">
        <v>40</v>
      </c>
      <c r="E8" s="44">
        <v>1.1499999999999999</v>
      </c>
      <c r="G8" s="12">
        <f t="shared" si="0"/>
        <v>2019</v>
      </c>
      <c r="H8" s="12">
        <f t="shared" si="1"/>
        <v>1</v>
      </c>
      <c r="I8" s="21">
        <f t="shared" si="2"/>
        <v>0</v>
      </c>
      <c r="J8" s="34" t="e">
        <f t="shared" si="3"/>
        <v>#REF!</v>
      </c>
    </row>
    <row r="9" spans="1:10" x14ac:dyDescent="0.3">
      <c r="G9" s="13">
        <f t="shared" si="0"/>
        <v>2020</v>
      </c>
      <c r="H9" s="13">
        <f t="shared" si="1"/>
        <v>1</v>
      </c>
      <c r="I9" s="21">
        <f t="shared" si="2"/>
        <v>0</v>
      </c>
      <c r="J9" s="41" t="e">
        <f t="shared" si="3"/>
        <v>#REF!</v>
      </c>
    </row>
    <row r="10" spans="1:10" x14ac:dyDescent="0.3">
      <c r="A10" s="11" t="s">
        <v>20</v>
      </c>
      <c r="G10" s="12">
        <f t="shared" si="0"/>
        <v>2021</v>
      </c>
      <c r="H10" s="12">
        <f t="shared" si="1"/>
        <v>1</v>
      </c>
      <c r="I10" s="21">
        <f t="shared" si="2"/>
        <v>0</v>
      </c>
      <c r="J10" s="34" t="e">
        <f t="shared" si="3"/>
        <v>#REF!</v>
      </c>
    </row>
    <row r="11" spans="1:10" x14ac:dyDescent="0.3">
      <c r="A11" s="10" t="s">
        <v>43</v>
      </c>
      <c r="B11" s="42" t="e">
        <f>NPV($B$17,J4:J29)/(1+$B$17)^(E4-B16+1)</f>
        <v>#REF!</v>
      </c>
      <c r="G11" s="13">
        <f t="shared" si="0"/>
        <v>2022</v>
      </c>
      <c r="H11" s="13">
        <f t="shared" si="1"/>
        <v>1</v>
      </c>
      <c r="I11" s="21">
        <f t="shared" si="2"/>
        <v>0</v>
      </c>
      <c r="J11" s="41" t="e">
        <f t="shared" si="3"/>
        <v>#REF!</v>
      </c>
    </row>
    <row r="12" spans="1:10" x14ac:dyDescent="0.3">
      <c r="A12" s="10" t="s">
        <v>19</v>
      </c>
      <c r="B12" s="40" t="e">
        <f>B11/B7</f>
        <v>#REF!</v>
      </c>
      <c r="G12" s="12">
        <f t="shared" si="0"/>
        <v>2023</v>
      </c>
      <c r="H12" s="12">
        <f t="shared" si="1"/>
        <v>1</v>
      </c>
      <c r="I12" s="21">
        <f t="shared" si="2"/>
        <v>0</v>
      </c>
      <c r="J12" s="34" t="e">
        <f t="shared" si="3"/>
        <v>#REF!</v>
      </c>
    </row>
    <row r="13" spans="1:10" x14ac:dyDescent="0.3">
      <c r="G13" s="13">
        <f t="shared" si="0"/>
        <v>2024</v>
      </c>
      <c r="H13" s="13">
        <f t="shared" si="1"/>
        <v>1</v>
      </c>
      <c r="I13" s="21">
        <f t="shared" si="2"/>
        <v>0</v>
      </c>
      <c r="J13" s="41" t="e">
        <f t="shared" si="3"/>
        <v>#REF!</v>
      </c>
    </row>
    <row r="14" spans="1:10" x14ac:dyDescent="0.3">
      <c r="G14" s="12">
        <f>G13+1</f>
        <v>2025</v>
      </c>
      <c r="H14" s="12">
        <f t="shared" si="1"/>
        <v>1</v>
      </c>
      <c r="I14" s="21">
        <f t="shared" si="2"/>
        <v>0</v>
      </c>
      <c r="J14" s="34" t="e">
        <f t="shared" si="3"/>
        <v>#REF!</v>
      </c>
    </row>
    <row r="15" spans="1:10" x14ac:dyDescent="0.3">
      <c r="A15" s="15" t="s">
        <v>4</v>
      </c>
      <c r="G15" s="13">
        <f t="shared" si="0"/>
        <v>2026</v>
      </c>
      <c r="H15" s="13">
        <f t="shared" si="1"/>
        <v>1</v>
      </c>
      <c r="I15" s="21">
        <f t="shared" si="2"/>
        <v>0</v>
      </c>
      <c r="J15" s="41" t="e">
        <f t="shared" si="3"/>
        <v>#REF!</v>
      </c>
    </row>
    <row r="16" spans="1:10" x14ac:dyDescent="0.3">
      <c r="A16" s="16" t="s">
        <v>5</v>
      </c>
      <c r="B16" s="26" t="e">
        <f>'Assumed Values'!#REF!</f>
        <v>#REF!</v>
      </c>
      <c r="D16" s="15" t="s">
        <v>17</v>
      </c>
      <c r="E16" s="24" t="s">
        <v>12</v>
      </c>
      <c r="G16" s="12">
        <f t="shared" si="0"/>
        <v>2027</v>
      </c>
      <c r="H16" s="12">
        <f t="shared" si="1"/>
        <v>1</v>
      </c>
      <c r="I16" s="21">
        <f t="shared" si="2"/>
        <v>0</v>
      </c>
      <c r="J16" s="34" t="e">
        <f t="shared" si="3"/>
        <v>#REF!</v>
      </c>
    </row>
    <row r="17" spans="1:10" x14ac:dyDescent="0.3">
      <c r="A17" s="16" t="s">
        <v>6</v>
      </c>
      <c r="B17" s="17" t="e">
        <f>'Assumed Values'!#REF!</f>
        <v>#REF!</v>
      </c>
      <c r="D17" s="19" t="s">
        <v>41</v>
      </c>
      <c r="E17" s="20">
        <f>E7/E8</f>
        <v>0</v>
      </c>
      <c r="G17" s="13">
        <f t="shared" si="0"/>
        <v>2028</v>
      </c>
      <c r="H17" s="13">
        <f t="shared" si="1"/>
        <v>1</v>
      </c>
      <c r="I17" s="21">
        <f t="shared" si="2"/>
        <v>0</v>
      </c>
      <c r="J17" s="41" t="e">
        <f t="shared" si="3"/>
        <v>#REF!</v>
      </c>
    </row>
    <row r="18" spans="1:10" x14ac:dyDescent="0.3">
      <c r="A18" s="16" t="s">
        <v>7</v>
      </c>
      <c r="B18" s="16">
        <f>IF(B6=2,2.1, 1.1)</f>
        <v>1.1000000000000001</v>
      </c>
      <c r="G18" s="12">
        <f t="shared" si="0"/>
        <v>2029</v>
      </c>
      <c r="H18" s="12">
        <f t="shared" si="1"/>
        <v>1</v>
      </c>
      <c r="I18" s="21">
        <f t="shared" si="2"/>
        <v>0</v>
      </c>
      <c r="J18" s="34" t="e">
        <f t="shared" si="3"/>
        <v>#REF!</v>
      </c>
    </row>
    <row r="19" spans="1:10" x14ac:dyDescent="0.3">
      <c r="A19" s="16" t="s">
        <v>11</v>
      </c>
      <c r="B19" s="18" t="e">
        <f>'Assumed Values'!#REF!</f>
        <v>#REF!</v>
      </c>
      <c r="G19" s="13">
        <f t="shared" si="0"/>
        <v>2030</v>
      </c>
      <c r="H19" s="13">
        <f t="shared" si="1"/>
        <v>1</v>
      </c>
      <c r="I19" s="21">
        <f t="shared" si="2"/>
        <v>0</v>
      </c>
      <c r="J19" s="41" t="e">
        <f t="shared" si="3"/>
        <v>#REF!</v>
      </c>
    </row>
    <row r="20" spans="1:10" x14ac:dyDescent="0.3">
      <c r="A20" s="16" t="s">
        <v>18</v>
      </c>
      <c r="B20" s="16">
        <v>260</v>
      </c>
      <c r="G20" s="12">
        <f t="shared" si="0"/>
        <v>2031</v>
      </c>
      <c r="H20" s="12">
        <f t="shared" si="1"/>
        <v>1</v>
      </c>
      <c r="I20" s="21">
        <f t="shared" si="2"/>
        <v>0</v>
      </c>
      <c r="J20" s="34" t="e">
        <f t="shared" si="3"/>
        <v>#REF!</v>
      </c>
    </row>
    <row r="21" spans="1:10" x14ac:dyDescent="0.3">
      <c r="G21" s="13">
        <f t="shared" si="0"/>
        <v>2032</v>
      </c>
      <c r="H21" s="13">
        <f t="shared" si="1"/>
        <v>1</v>
      </c>
      <c r="I21" s="21">
        <f t="shared" si="2"/>
        <v>0</v>
      </c>
      <c r="J21" s="41" t="e">
        <f t="shared" si="3"/>
        <v>#REF!</v>
      </c>
    </row>
    <row r="22" spans="1:10" x14ac:dyDescent="0.3">
      <c r="G22" s="12">
        <f t="shared" si="0"/>
        <v>2033</v>
      </c>
      <c r="H22" s="12">
        <f t="shared" si="1"/>
        <v>1</v>
      </c>
      <c r="I22" s="21">
        <f t="shared" si="2"/>
        <v>0</v>
      </c>
      <c r="J22" s="34" t="e">
        <f t="shared" si="3"/>
        <v>#REF!</v>
      </c>
    </row>
    <row r="23" spans="1:10" x14ac:dyDescent="0.3">
      <c r="G23" s="13">
        <f t="shared" si="0"/>
        <v>2034</v>
      </c>
      <c r="H23" s="13">
        <f t="shared" si="1"/>
        <v>1</v>
      </c>
      <c r="I23" s="21">
        <f t="shared" si="2"/>
        <v>0</v>
      </c>
      <c r="J23" s="41" t="e">
        <f t="shared" si="3"/>
        <v>#REF!</v>
      </c>
    </row>
    <row r="24" spans="1:10" x14ac:dyDescent="0.3">
      <c r="G24" s="12">
        <f t="shared" si="0"/>
        <v>2035</v>
      </c>
      <c r="H24" s="12">
        <f t="shared" si="1"/>
        <v>1</v>
      </c>
      <c r="I24" s="21">
        <f t="shared" si="2"/>
        <v>0</v>
      </c>
      <c r="J24" s="34" t="e">
        <f t="shared" si="3"/>
        <v>#REF!</v>
      </c>
    </row>
    <row r="25" spans="1:10" x14ac:dyDescent="0.3">
      <c r="G25" s="13">
        <f t="shared" si="0"/>
        <v>2036</v>
      </c>
      <c r="H25" s="13">
        <f t="shared" si="1"/>
        <v>1</v>
      </c>
      <c r="I25" s="21">
        <f t="shared" si="2"/>
        <v>0</v>
      </c>
      <c r="J25" s="41" t="e">
        <f t="shared" ref="J25:J29" si="4">I25*$B$18*$B$19/10^3</f>
        <v>#REF!</v>
      </c>
    </row>
    <row r="26" spans="1:10" x14ac:dyDescent="0.3">
      <c r="G26" s="12">
        <f t="shared" si="0"/>
        <v>2037</v>
      </c>
      <c r="H26" s="12">
        <f t="shared" si="1"/>
        <v>1</v>
      </c>
      <c r="I26" s="21">
        <f t="shared" si="2"/>
        <v>0</v>
      </c>
      <c r="J26" s="34" t="e">
        <f t="shared" si="4"/>
        <v>#REF!</v>
      </c>
    </row>
    <row r="27" spans="1:10" x14ac:dyDescent="0.3">
      <c r="G27" s="13">
        <f t="shared" si="0"/>
        <v>2038</v>
      </c>
      <c r="H27" s="13">
        <f t="shared" si="1"/>
        <v>1</v>
      </c>
      <c r="I27" s="21">
        <f t="shared" si="2"/>
        <v>0</v>
      </c>
      <c r="J27" s="41" t="e">
        <f t="shared" si="4"/>
        <v>#REF!</v>
      </c>
    </row>
    <row r="28" spans="1:10" x14ac:dyDescent="0.3">
      <c r="G28" s="12">
        <f t="shared" si="0"/>
        <v>2039</v>
      </c>
      <c r="H28" s="12">
        <f t="shared" si="1"/>
        <v>1</v>
      </c>
      <c r="I28" s="21">
        <f t="shared" si="2"/>
        <v>0</v>
      </c>
      <c r="J28" s="34" t="e">
        <f t="shared" si="4"/>
        <v>#REF!</v>
      </c>
    </row>
    <row r="29" spans="1:10" x14ac:dyDescent="0.3">
      <c r="A29" s="25"/>
      <c r="G29" s="13">
        <f t="shared" si="0"/>
        <v>2040</v>
      </c>
      <c r="H29" s="13">
        <f t="shared" si="1"/>
        <v>1</v>
      </c>
      <c r="I29" s="21">
        <f t="shared" si="2"/>
        <v>0</v>
      </c>
      <c r="J29" s="41" t="e">
        <f t="shared" si="4"/>
        <v>#REF!</v>
      </c>
    </row>
    <row r="51" spans="1:1" x14ac:dyDescent="0.3">
      <c r="A51" t="s">
        <v>13</v>
      </c>
    </row>
    <row r="52" spans="1:1" x14ac:dyDescent="0.3">
      <c r="A52" s="4" t="s">
        <v>15</v>
      </c>
    </row>
    <row r="53" spans="1:1" x14ac:dyDescent="0.3">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3</v>
      </c>
      <c r="D3" s="7" t="s">
        <v>30</v>
      </c>
      <c r="E3" s="8" t="s">
        <v>12</v>
      </c>
      <c r="G3" s="14" t="s">
        <v>16</v>
      </c>
      <c r="H3" s="14" t="s">
        <v>39</v>
      </c>
      <c r="I3" s="14" t="s">
        <v>48</v>
      </c>
      <c r="J3" s="14" t="s">
        <v>38</v>
      </c>
      <c r="K3" s="14" t="s">
        <v>49</v>
      </c>
    </row>
    <row r="4" spans="1:11" x14ac:dyDescent="0.3">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3">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3">
      <c r="A6" s="5" t="s">
        <v>35</v>
      </c>
      <c r="B6" s="6">
        <v>2</v>
      </c>
      <c r="D6" s="112" t="s">
        <v>32</v>
      </c>
      <c r="E6" s="113"/>
      <c r="G6" s="12">
        <f t="shared" si="2"/>
        <v>2017</v>
      </c>
      <c r="H6" s="37">
        <f t="shared" si="0"/>
        <v>0</v>
      </c>
      <c r="I6" s="36">
        <f t="shared" si="3"/>
        <v>0</v>
      </c>
      <c r="J6" s="37">
        <f t="shared" si="1"/>
        <v>0</v>
      </c>
      <c r="K6" s="36">
        <f t="shared" si="4"/>
        <v>0</v>
      </c>
    </row>
    <row r="7" spans="1:11" x14ac:dyDescent="0.3">
      <c r="A7" s="5" t="s">
        <v>45</v>
      </c>
      <c r="B7" s="23"/>
      <c r="D7" s="5" t="s">
        <v>31</v>
      </c>
      <c r="E7" s="9"/>
      <c r="G7" s="13">
        <f t="shared" si="2"/>
        <v>2018</v>
      </c>
      <c r="H7" s="37">
        <f t="shared" si="0"/>
        <v>0</v>
      </c>
      <c r="I7" s="38">
        <f t="shared" si="3"/>
        <v>0</v>
      </c>
      <c r="J7" s="37">
        <f t="shared" si="1"/>
        <v>0</v>
      </c>
      <c r="K7" s="38">
        <f t="shared" si="4"/>
        <v>0</v>
      </c>
    </row>
    <row r="8" spans="1:11" x14ac:dyDescent="0.3">
      <c r="A8" s="22" t="s">
        <v>46</v>
      </c>
      <c r="B8" s="23"/>
      <c r="D8" s="112" t="s">
        <v>33</v>
      </c>
      <c r="E8" s="113"/>
      <c r="G8" s="12">
        <f t="shared" si="2"/>
        <v>2019</v>
      </c>
      <c r="H8" s="37">
        <f t="shared" si="0"/>
        <v>0</v>
      </c>
      <c r="I8" s="36">
        <f t="shared" si="3"/>
        <v>0</v>
      </c>
      <c r="J8" s="37">
        <f t="shared" si="1"/>
        <v>0</v>
      </c>
      <c r="K8" s="36">
        <f t="shared" si="4"/>
        <v>0</v>
      </c>
    </row>
    <row r="9" spans="1:11" x14ac:dyDescent="0.3">
      <c r="D9" s="5" t="s">
        <v>36</v>
      </c>
      <c r="E9" s="9"/>
      <c r="G9" s="13">
        <f t="shared" si="2"/>
        <v>2020</v>
      </c>
      <c r="H9" s="37">
        <f t="shared" si="0"/>
        <v>0</v>
      </c>
      <c r="I9" s="38">
        <f t="shared" si="3"/>
        <v>0</v>
      </c>
      <c r="J9" s="37">
        <f t="shared" si="1"/>
        <v>0</v>
      </c>
      <c r="K9" s="38">
        <f t="shared" si="4"/>
        <v>0</v>
      </c>
    </row>
    <row r="10" spans="1:11" x14ac:dyDescent="0.3">
      <c r="A10" s="11" t="s">
        <v>20</v>
      </c>
      <c r="D10" s="5" t="s">
        <v>37</v>
      </c>
      <c r="E10" s="9"/>
      <c r="G10" s="12">
        <f t="shared" si="2"/>
        <v>2021</v>
      </c>
      <c r="H10" s="37">
        <f t="shared" si="0"/>
        <v>0</v>
      </c>
      <c r="I10" s="36">
        <f t="shared" si="3"/>
        <v>0</v>
      </c>
      <c r="J10" s="37">
        <f t="shared" si="1"/>
        <v>0</v>
      </c>
      <c r="K10" s="36">
        <f t="shared" si="4"/>
        <v>0</v>
      </c>
    </row>
    <row r="11" spans="1:11" x14ac:dyDescent="0.3">
      <c r="A11" s="10" t="s">
        <v>50</v>
      </c>
      <c r="B11" s="39">
        <f>(NPV($B$17,K4:K24)+NPV($B$17,I4:I24))/(1+$B$17)^2</f>
        <v>0</v>
      </c>
      <c r="G11" s="13">
        <f t="shared" si="2"/>
        <v>2022</v>
      </c>
      <c r="H11" s="37">
        <f t="shared" si="0"/>
        <v>0</v>
      </c>
      <c r="I11" s="38">
        <f t="shared" si="3"/>
        <v>0</v>
      </c>
      <c r="J11" s="37">
        <f t="shared" si="1"/>
        <v>0</v>
      </c>
      <c r="K11" s="38">
        <f t="shared" si="4"/>
        <v>0</v>
      </c>
    </row>
    <row r="12" spans="1:11" x14ac:dyDescent="0.3">
      <c r="A12" s="10" t="s">
        <v>19</v>
      </c>
      <c r="B12" s="40" t="e">
        <f>B11/B7</f>
        <v>#DIV/0!</v>
      </c>
      <c r="G12" s="12">
        <f t="shared" si="2"/>
        <v>2023</v>
      </c>
      <c r="H12" s="37">
        <f t="shared" si="0"/>
        <v>0</v>
      </c>
      <c r="I12" s="36">
        <f t="shared" si="3"/>
        <v>0</v>
      </c>
      <c r="J12" s="37">
        <f t="shared" si="1"/>
        <v>0</v>
      </c>
      <c r="K12" s="36">
        <f t="shared" si="4"/>
        <v>0</v>
      </c>
    </row>
    <row r="13" spans="1:11" x14ac:dyDescent="0.3">
      <c r="A13" s="10" t="s">
        <v>51</v>
      </c>
      <c r="B13" s="39" t="e">
        <f>B7*(B17/(1-(1+B17)^(-E5))/(SUM(H4:H29)+SUM(J4:J29)))</f>
        <v>#DIV/0!</v>
      </c>
      <c r="G13" s="13">
        <f t="shared" si="2"/>
        <v>2024</v>
      </c>
      <c r="H13" s="37">
        <f t="shared" si="0"/>
        <v>0</v>
      </c>
      <c r="I13" s="38">
        <f t="shared" si="3"/>
        <v>0</v>
      </c>
      <c r="J13" s="37">
        <f t="shared" si="1"/>
        <v>0</v>
      </c>
      <c r="K13" s="38">
        <f t="shared" si="4"/>
        <v>0</v>
      </c>
    </row>
    <row r="14" spans="1:11" x14ac:dyDescent="0.3">
      <c r="G14" s="12">
        <f>G13+1</f>
        <v>2025</v>
      </c>
      <c r="H14" s="37">
        <f t="shared" si="0"/>
        <v>0</v>
      </c>
      <c r="I14" s="36">
        <f t="shared" si="3"/>
        <v>0</v>
      </c>
      <c r="J14" s="37">
        <f t="shared" si="1"/>
        <v>0</v>
      </c>
      <c r="K14" s="36">
        <f t="shared" si="4"/>
        <v>0</v>
      </c>
    </row>
    <row r="15" spans="1:11" x14ac:dyDescent="0.3">
      <c r="A15" s="15" t="s">
        <v>4</v>
      </c>
      <c r="G15" s="13">
        <f t="shared" si="2"/>
        <v>2026</v>
      </c>
      <c r="H15" s="37">
        <f t="shared" si="0"/>
        <v>0</v>
      </c>
      <c r="I15" s="38">
        <f t="shared" si="3"/>
        <v>0</v>
      </c>
      <c r="J15" s="37">
        <f t="shared" si="1"/>
        <v>0</v>
      </c>
      <c r="K15" s="38">
        <f t="shared" si="4"/>
        <v>0</v>
      </c>
    </row>
    <row r="16" spans="1:11" x14ac:dyDescent="0.3">
      <c r="A16" s="16" t="s">
        <v>5</v>
      </c>
      <c r="B16" s="26">
        <v>2015</v>
      </c>
      <c r="D16" s="15" t="s">
        <v>17</v>
      </c>
      <c r="E16" s="24" t="s">
        <v>12</v>
      </c>
      <c r="G16" s="12">
        <f t="shared" si="2"/>
        <v>2027</v>
      </c>
      <c r="H16" s="37">
        <f t="shared" si="0"/>
        <v>0</v>
      </c>
      <c r="I16" s="36">
        <f t="shared" si="3"/>
        <v>0</v>
      </c>
      <c r="J16" s="37">
        <f t="shared" si="1"/>
        <v>0</v>
      </c>
      <c r="K16" s="36">
        <f t="shared" si="4"/>
        <v>0</v>
      </c>
    </row>
    <row r="17" spans="1:11" x14ac:dyDescent="0.3">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3">
      <c r="A18" s="16" t="s">
        <v>28</v>
      </c>
      <c r="B18" s="43">
        <f>IF($B$6=2,'Assumed Values'!C7,0)</f>
        <v>1.37772997841E-2</v>
      </c>
      <c r="D18" s="19" t="s">
        <v>37</v>
      </c>
      <c r="E18" s="33">
        <f>IF(E10,E10,$E$7*B19*$B$22/10^6)</f>
        <v>0</v>
      </c>
      <c r="G18" s="12">
        <f t="shared" si="2"/>
        <v>2029</v>
      </c>
      <c r="H18" s="37">
        <f t="shared" si="0"/>
        <v>0</v>
      </c>
      <c r="I18" s="36">
        <f t="shared" si="3"/>
        <v>0</v>
      </c>
      <c r="J18" s="37">
        <f t="shared" si="1"/>
        <v>0</v>
      </c>
      <c r="K18" s="36">
        <f t="shared" si="4"/>
        <v>0</v>
      </c>
    </row>
    <row r="19" spans="1:11" x14ac:dyDescent="0.3">
      <c r="A19" s="16" t="s">
        <v>29</v>
      </c>
      <c r="B19" s="43">
        <f>IF($B$6=2,'Assumed Values'!C8,0)</f>
        <v>5.9836700558699898E-2</v>
      </c>
      <c r="G19" s="13">
        <f t="shared" si="2"/>
        <v>2030</v>
      </c>
      <c r="H19" s="37">
        <f t="shared" si="0"/>
        <v>0</v>
      </c>
      <c r="I19" s="38">
        <f t="shared" si="3"/>
        <v>0</v>
      </c>
      <c r="J19" s="37">
        <f t="shared" si="1"/>
        <v>0</v>
      </c>
      <c r="K19" s="38">
        <f t="shared" si="4"/>
        <v>0</v>
      </c>
    </row>
    <row r="20" spans="1:11" x14ac:dyDescent="0.3">
      <c r="A20" s="16" t="s">
        <v>52</v>
      </c>
      <c r="B20" s="35">
        <f>'Assumed Values'!C5</f>
        <v>1905</v>
      </c>
      <c r="G20" s="12">
        <f t="shared" si="2"/>
        <v>2031</v>
      </c>
      <c r="H20" s="37">
        <f t="shared" si="0"/>
        <v>0</v>
      </c>
      <c r="I20" s="36">
        <f t="shared" si="3"/>
        <v>0</v>
      </c>
      <c r="J20" s="37">
        <f t="shared" si="1"/>
        <v>0</v>
      </c>
      <c r="K20" s="36">
        <f t="shared" si="4"/>
        <v>0</v>
      </c>
    </row>
    <row r="21" spans="1:11" x14ac:dyDescent="0.3">
      <c r="A21" s="16" t="s">
        <v>53</v>
      </c>
      <c r="B21" s="35">
        <f>'Assumed Values'!C6</f>
        <v>7508</v>
      </c>
      <c r="G21" s="13">
        <f t="shared" si="2"/>
        <v>2032</v>
      </c>
      <c r="H21" s="37">
        <f t="shared" si="0"/>
        <v>0</v>
      </c>
      <c r="I21" s="38">
        <f t="shared" si="3"/>
        <v>0</v>
      </c>
      <c r="J21" s="37">
        <f t="shared" si="1"/>
        <v>0</v>
      </c>
      <c r="K21" s="38">
        <f t="shared" si="4"/>
        <v>0</v>
      </c>
    </row>
    <row r="22" spans="1:11" x14ac:dyDescent="0.3">
      <c r="A22" s="16" t="s">
        <v>18</v>
      </c>
      <c r="B22" s="16">
        <v>260</v>
      </c>
      <c r="G22" s="12">
        <f t="shared" si="2"/>
        <v>2033</v>
      </c>
      <c r="H22" s="37">
        <f t="shared" si="0"/>
        <v>0</v>
      </c>
      <c r="I22" s="36">
        <f t="shared" si="3"/>
        <v>0</v>
      </c>
      <c r="J22" s="37">
        <f t="shared" si="1"/>
        <v>0</v>
      </c>
      <c r="K22" s="36">
        <f t="shared" si="4"/>
        <v>0</v>
      </c>
    </row>
    <row r="23" spans="1:11" x14ac:dyDescent="0.3">
      <c r="G23" s="13">
        <f t="shared" si="2"/>
        <v>2034</v>
      </c>
      <c r="H23" s="37">
        <f t="shared" si="0"/>
        <v>0</v>
      </c>
      <c r="I23" s="38">
        <f t="shared" si="3"/>
        <v>0</v>
      </c>
      <c r="J23" s="37">
        <f t="shared" si="1"/>
        <v>0</v>
      </c>
      <c r="K23" s="38">
        <f t="shared" si="4"/>
        <v>0</v>
      </c>
    </row>
    <row r="24" spans="1:11" x14ac:dyDescent="0.3">
      <c r="G24" s="12">
        <f t="shared" si="2"/>
        <v>2035</v>
      </c>
      <c r="H24" s="37">
        <f t="shared" si="0"/>
        <v>0</v>
      </c>
      <c r="I24" s="36">
        <f t="shared" si="3"/>
        <v>0</v>
      </c>
      <c r="J24" s="37">
        <f t="shared" si="1"/>
        <v>0</v>
      </c>
      <c r="K24" s="36">
        <f t="shared" si="4"/>
        <v>0</v>
      </c>
    </row>
    <row r="25" spans="1:11" x14ac:dyDescent="0.3">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3">
      <c r="G26" s="12">
        <f t="shared" si="2"/>
        <v>2037</v>
      </c>
      <c r="H26" s="37">
        <f t="shared" si="5"/>
        <v>0</v>
      </c>
      <c r="I26" s="36">
        <f t="shared" si="6"/>
        <v>0</v>
      </c>
      <c r="J26" s="37">
        <f t="shared" si="7"/>
        <v>0</v>
      </c>
      <c r="K26" s="36">
        <f t="shared" si="8"/>
        <v>0</v>
      </c>
    </row>
    <row r="27" spans="1:11" x14ac:dyDescent="0.3">
      <c r="G27" s="13">
        <f t="shared" si="2"/>
        <v>2038</v>
      </c>
      <c r="H27" s="37">
        <f t="shared" si="5"/>
        <v>0</v>
      </c>
      <c r="I27" s="38">
        <f t="shared" si="6"/>
        <v>0</v>
      </c>
      <c r="J27" s="37">
        <f t="shared" si="7"/>
        <v>0</v>
      </c>
      <c r="K27" s="38">
        <f t="shared" si="8"/>
        <v>0</v>
      </c>
    </row>
    <row r="28" spans="1:11" x14ac:dyDescent="0.3">
      <c r="G28" s="12">
        <f t="shared" si="2"/>
        <v>2039</v>
      </c>
      <c r="H28" s="37">
        <f t="shared" si="5"/>
        <v>0</v>
      </c>
      <c r="I28" s="36">
        <f t="shared" si="6"/>
        <v>0</v>
      </c>
      <c r="J28" s="37">
        <f t="shared" si="7"/>
        <v>0</v>
      </c>
      <c r="K28" s="36">
        <f t="shared" si="8"/>
        <v>0</v>
      </c>
    </row>
    <row r="29" spans="1:11" x14ac:dyDescent="0.3">
      <c r="G29" s="13">
        <f t="shared" si="2"/>
        <v>2040</v>
      </c>
      <c r="H29" s="37">
        <f>IF($G29&lt;($G$4+$E$5),$E$17,0)</f>
        <v>0</v>
      </c>
      <c r="I29" s="38">
        <f t="shared" si="6"/>
        <v>0</v>
      </c>
      <c r="J29" s="37">
        <f>IF($G29&lt;($G$4+$E$5),$E$18,0)</f>
        <v>0</v>
      </c>
      <c r="K29" s="38">
        <f t="shared" si="8"/>
        <v>0</v>
      </c>
    </row>
    <row r="31" spans="1:11" x14ac:dyDescent="0.3">
      <c r="A31" s="25"/>
    </row>
    <row r="53" spans="1:1" x14ac:dyDescent="0.3">
      <c r="A53" t="s">
        <v>13</v>
      </c>
    </row>
    <row r="54" spans="1:1" x14ac:dyDescent="0.3">
      <c r="A54" s="4" t="s">
        <v>15</v>
      </c>
    </row>
    <row r="55" spans="1:1" x14ac:dyDescent="0.3">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topLeftCell="A22" zoomScale="115" zoomScaleNormal="115" workbookViewId="0">
      <selection activeCell="E20" sqref="E20"/>
    </sheetView>
  </sheetViews>
  <sheetFormatPr defaultRowHeight="14.4" x14ac:dyDescent="0.3"/>
  <cols>
    <col min="1" max="1" width="47" customWidth="1"/>
    <col min="2" max="2" width="20.5546875" customWidth="1"/>
    <col min="3" max="3" width="5.33203125" customWidth="1"/>
    <col min="4" max="4" width="5.88671875" customWidth="1"/>
    <col min="5" max="5" width="13.33203125" customWidth="1"/>
    <col min="6" max="6" width="4.5546875" customWidth="1"/>
  </cols>
  <sheetData>
    <row r="3" spans="1:5" ht="18" x14ac:dyDescent="0.35">
      <c r="A3" s="48" t="s">
        <v>58</v>
      </c>
      <c r="B3" s="49"/>
      <c r="C3" s="49"/>
      <c r="D3" s="49"/>
      <c r="E3" s="49"/>
    </row>
    <row r="5" spans="1:5" x14ac:dyDescent="0.3">
      <c r="A5" s="7" t="s">
        <v>3</v>
      </c>
      <c r="D5" s="6"/>
      <c r="E5" s="104" t="s">
        <v>130</v>
      </c>
    </row>
    <row r="6" spans="1:5" x14ac:dyDescent="0.3">
      <c r="A6" s="5" t="s">
        <v>8</v>
      </c>
      <c r="B6" s="6" t="s">
        <v>138</v>
      </c>
      <c r="D6" s="106"/>
      <c r="E6" s="104" t="s">
        <v>131</v>
      </c>
    </row>
    <row r="7" spans="1:5" x14ac:dyDescent="0.3">
      <c r="A7" s="5" t="s">
        <v>54</v>
      </c>
      <c r="B7" s="6">
        <v>171</v>
      </c>
      <c r="D7" s="102"/>
      <c r="E7" s="104" t="s">
        <v>132</v>
      </c>
    </row>
    <row r="8" spans="1:5" x14ac:dyDescent="0.3">
      <c r="A8" s="5" t="s">
        <v>55</v>
      </c>
      <c r="B8" s="6"/>
      <c r="D8" s="107"/>
      <c r="E8" s="104" t="s">
        <v>133</v>
      </c>
    </row>
    <row r="9" spans="1:5" x14ac:dyDescent="0.3">
      <c r="A9" s="5" t="s">
        <v>77</v>
      </c>
      <c r="B9" s="57" t="s">
        <v>75</v>
      </c>
    </row>
    <row r="10" spans="1:5" x14ac:dyDescent="0.3">
      <c r="B10" s="104"/>
      <c r="D10" s="59"/>
      <c r="E10" s="60"/>
    </row>
    <row r="11" spans="1:5" x14ac:dyDescent="0.3">
      <c r="B11" s="104"/>
      <c r="D11" s="27"/>
      <c r="E11" s="50"/>
    </row>
    <row r="12" spans="1:5" x14ac:dyDescent="0.3">
      <c r="A12" s="7" t="s">
        <v>85</v>
      </c>
      <c r="B12" s="104"/>
      <c r="D12" s="27"/>
      <c r="E12" s="50"/>
    </row>
    <row r="13" spans="1:5" x14ac:dyDescent="0.3">
      <c r="A13" s="5" t="s">
        <v>60</v>
      </c>
      <c r="B13" s="45">
        <v>2022</v>
      </c>
      <c r="D13" s="27"/>
      <c r="E13" s="50"/>
    </row>
    <row r="14" spans="1:5" x14ac:dyDescent="0.3">
      <c r="A14" s="5" t="s">
        <v>87</v>
      </c>
      <c r="B14" s="6" t="s">
        <v>123</v>
      </c>
      <c r="D14" s="27"/>
      <c r="E14" s="50"/>
    </row>
    <row r="15" spans="1:5" x14ac:dyDescent="0.3">
      <c r="A15" s="5" t="s">
        <v>79</v>
      </c>
      <c r="B15" s="57" t="s">
        <v>83</v>
      </c>
      <c r="D15" s="27"/>
      <c r="E15" s="50"/>
    </row>
    <row r="16" spans="1:5" x14ac:dyDescent="0.3">
      <c r="A16" s="5" t="s">
        <v>86</v>
      </c>
      <c r="B16" s="6">
        <v>30</v>
      </c>
      <c r="D16" s="27"/>
      <c r="E16" s="50"/>
    </row>
    <row r="17" spans="1:12" x14ac:dyDescent="0.3">
      <c r="A17" s="101" t="s">
        <v>99</v>
      </c>
      <c r="B17" s="103">
        <f>VLOOKUP(B14,'Service Life'!C4:D10,2,FALSE)</f>
        <v>12</v>
      </c>
      <c r="D17" s="27"/>
      <c r="E17" s="50"/>
    </row>
    <row r="18" spans="1:12" x14ac:dyDescent="0.3">
      <c r="D18" s="27"/>
      <c r="E18" s="50"/>
    </row>
    <row r="19" spans="1:12" x14ac:dyDescent="0.3">
      <c r="A19" s="62" t="s">
        <v>88</v>
      </c>
      <c r="B19" s="63"/>
      <c r="D19" s="27"/>
      <c r="E19" s="50"/>
    </row>
    <row r="20" spans="1:12" x14ac:dyDescent="0.3">
      <c r="A20" s="5" t="s">
        <v>90</v>
      </c>
      <c r="B20" s="105">
        <v>492</v>
      </c>
      <c r="D20" s="27"/>
      <c r="E20" s="50"/>
      <c r="L20" s="104"/>
    </row>
    <row r="21" spans="1:12" x14ac:dyDescent="0.3">
      <c r="A21" s="5" t="s">
        <v>89</v>
      </c>
      <c r="B21" s="6">
        <v>0.5</v>
      </c>
      <c r="D21" s="27"/>
      <c r="E21" s="50"/>
    </row>
    <row r="22" spans="1:12" x14ac:dyDescent="0.3">
      <c r="D22" s="27"/>
      <c r="E22" s="50"/>
    </row>
    <row r="23" spans="1:12" x14ac:dyDescent="0.3">
      <c r="D23" s="27"/>
      <c r="E23" s="50"/>
    </row>
    <row r="24" spans="1:12" x14ac:dyDescent="0.3">
      <c r="A24" s="64" t="s">
        <v>134</v>
      </c>
      <c r="B24" s="65">
        <v>2724</v>
      </c>
      <c r="D24" s="27"/>
      <c r="E24" s="50"/>
    </row>
    <row r="25" spans="1:12" s="91" customFormat="1" x14ac:dyDescent="0.3">
      <c r="A25" s="64" t="s">
        <v>103</v>
      </c>
      <c r="B25" s="65">
        <v>2927</v>
      </c>
      <c r="D25" s="27"/>
      <c r="E25" s="50"/>
    </row>
    <row r="26" spans="1:12" x14ac:dyDescent="0.3">
      <c r="A26" s="64" t="s">
        <v>135</v>
      </c>
      <c r="B26" s="65">
        <v>4777</v>
      </c>
      <c r="D26" s="27"/>
      <c r="E26" s="50"/>
    </row>
    <row r="27" spans="1:12" x14ac:dyDescent="0.3">
      <c r="H27" s="91"/>
    </row>
    <row r="28" spans="1:12" ht="18" x14ac:dyDescent="0.35">
      <c r="A28" s="48" t="s">
        <v>59</v>
      </c>
      <c r="B28" s="49"/>
      <c r="C28" s="49"/>
      <c r="D28" s="49"/>
      <c r="E28" s="49"/>
    </row>
    <row r="30" spans="1:12" x14ac:dyDescent="0.3">
      <c r="A30" s="11" t="s">
        <v>57</v>
      </c>
    </row>
    <row r="31" spans="1:12" x14ac:dyDescent="0.3">
      <c r="A31" s="10" t="s">
        <v>116</v>
      </c>
      <c r="B31" s="108">
        <f>Calculations!M38</f>
        <v>321.62407439019478</v>
      </c>
    </row>
    <row r="32" spans="1:12" x14ac:dyDescent="0.3">
      <c r="A32" s="10" t="s">
        <v>117</v>
      </c>
      <c r="B32" s="108">
        <f>Calculations!Q38</f>
        <v>18.789506835742777</v>
      </c>
    </row>
    <row r="34" spans="1:5" x14ac:dyDescent="0.3">
      <c r="A34" s="11" t="s">
        <v>84</v>
      </c>
    </row>
    <row r="35" spans="1:5" x14ac:dyDescent="0.3">
      <c r="A35" s="10" t="s">
        <v>120</v>
      </c>
      <c r="B35" s="108">
        <f>$B$31+$B$32</f>
        <v>340.41358122593755</v>
      </c>
    </row>
    <row r="37" spans="1:5" x14ac:dyDescent="0.3">
      <c r="A37" s="11" t="str">
        <f>"Emissions Reductions (Life of Project = "&amp;'Assumed Values'!C9&amp;")"</f>
        <v>Emissions Reductions (Life of Project = 12)</v>
      </c>
      <c r="E37" s="96"/>
    </row>
    <row r="38" spans="1:5" x14ac:dyDescent="0.3">
      <c r="A38" s="10" t="s">
        <v>136</v>
      </c>
      <c r="B38" s="109">
        <f>Calculations!K38</f>
        <v>0.24320463585724686</v>
      </c>
    </row>
    <row r="39" spans="1:5" x14ac:dyDescent="0.3">
      <c r="A39" s="10" t="s">
        <v>81</v>
      </c>
      <c r="B39" s="109">
        <f>Calculations!O38</f>
        <v>5.5997413169494456E-2</v>
      </c>
    </row>
    <row r="55" spans="1:1" x14ac:dyDescent="0.3">
      <c r="A55" s="4"/>
    </row>
    <row r="56" spans="1:1" x14ac:dyDescent="0.3">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4.4" x14ac:dyDescent="0.3"/>
  <cols>
    <col min="1" max="1" width="4.5546875" customWidth="1"/>
    <col min="2" max="2" width="50.6640625" customWidth="1"/>
    <col min="3" max="3" width="14" bestFit="1" customWidth="1"/>
    <col min="4" max="4" width="7.109375" customWidth="1"/>
    <col min="5" max="5" width="7.33203125" style="1" customWidth="1"/>
    <col min="6" max="7" width="18.5546875" style="46" customWidth="1"/>
    <col min="8" max="8" width="16.88671875" style="47" customWidth="1"/>
    <col min="9" max="9" width="16.33203125" customWidth="1"/>
    <col min="10" max="10" width="15.109375" customWidth="1"/>
    <col min="11" max="11" width="14.5546875" customWidth="1"/>
    <col min="12" max="12" width="17.109375" customWidth="1"/>
    <col min="13" max="13" width="11.6640625" bestFit="1" customWidth="1"/>
    <col min="14" max="14" width="18" customWidth="1"/>
    <col min="15" max="15" width="15" customWidth="1"/>
    <col min="16" max="16" width="15.44140625" customWidth="1"/>
    <col min="17" max="17" width="12.33203125" customWidth="1"/>
    <col min="18" max="18" width="16.44140625" customWidth="1"/>
    <col min="19" max="19" width="14.109375" customWidth="1"/>
    <col min="20" max="20" width="12.6640625" customWidth="1"/>
    <col min="21" max="21" width="12" customWidth="1"/>
    <col min="22" max="23" width="11.6640625" customWidth="1"/>
    <col min="24" max="24" width="10.109375" customWidth="1"/>
  </cols>
  <sheetData>
    <row r="3" spans="2:19" x14ac:dyDescent="0.3">
      <c r="F3" t="s">
        <v>65</v>
      </c>
      <c r="G3"/>
      <c r="Q3" s="1"/>
      <c r="R3" s="46"/>
      <c r="S3" s="47"/>
    </row>
    <row r="4" spans="2:19" ht="43.2" x14ac:dyDescent="0.3">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3">
      <c r="B5" s="16" t="s">
        <v>91</v>
      </c>
      <c r="C5" s="67">
        <f>('Inputs &amp; Outputs'!B25/'Inputs &amp; Outputs'!B24)^(1/(2025-2018))-1</f>
        <v>1.0320986207323912E-2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3">
      <c r="B6" s="16" t="s">
        <v>92</v>
      </c>
      <c r="C6" s="67">
        <f>('Inputs &amp; Outputs'!B26/'Inputs &amp; Outputs'!B25)^(1/(2045-2025))-1</f>
        <v>2.4794122516786921E-2</v>
      </c>
      <c r="F6" s="74">
        <f t="shared" ref="F6:F37" si="1">F5+1</f>
        <v>2019</v>
      </c>
      <c r="G6" s="71">
        <f>$C$5</f>
        <v>1.0320986207323912E-2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3">
      <c r="B7" s="16" t="s">
        <v>93</v>
      </c>
      <c r="C7" s="67">
        <f>('Inputs &amp; Outputs'!B26/'Inputs &amp; Outputs'!B24)^(1/(2045-2018))-1</f>
        <v>2.1022038265412046E-2</v>
      </c>
      <c r="F7" s="12">
        <f t="shared" si="1"/>
        <v>2020</v>
      </c>
      <c r="G7" s="71">
        <f t="shared" ref="G7:G12" si="5">$C$5</f>
        <v>1.0320986207323912E-2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3">
      <c r="B8" s="27"/>
      <c r="C8" s="82"/>
      <c r="F8" s="74">
        <f t="shared" si="1"/>
        <v>2021</v>
      </c>
      <c r="G8" s="71">
        <f t="shared" si="5"/>
        <v>1.0320986207323912E-2</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3">
      <c r="B9" s="27"/>
      <c r="C9" s="82"/>
      <c r="F9" s="12">
        <f t="shared" si="1"/>
        <v>2022</v>
      </c>
      <c r="G9" s="71">
        <f t="shared" si="5"/>
        <v>1.0320986207323912E-2</v>
      </c>
      <c r="H9" s="73">
        <f>IF(AND(F9&gt;=Year_Open_to_Traffic?,F9&lt;Year_Open_to_Traffic?+'Assumed Values'!C$9),1,0)</f>
        <v>1</v>
      </c>
      <c r="I9" s="77">
        <f>IF(F9=Year_Open_to_Traffic?,Calculations!$C$12,(I8+I8*G9))</f>
        <v>353.9568345323741</v>
      </c>
      <c r="J9" s="77">
        <f>I9*'Assumed Values'!$C$8</f>
        <v>21.179609118618956</v>
      </c>
      <c r="K9" s="93">
        <f t="shared" si="2"/>
        <v>6.0701008514710674E-3</v>
      </c>
      <c r="L9" s="79">
        <f>(K9*H9)*'Assumed Values'!$C$6</f>
        <v>45.574317192844774</v>
      </c>
      <c r="M9" s="80">
        <f t="shared" si="3"/>
        <v>34.768428378756489</v>
      </c>
      <c r="N9" s="77">
        <f>I9*'Assumed Values'!$C$7</f>
        <v>4.8765694199835972</v>
      </c>
      <c r="O9" s="93">
        <f t="shared" si="4"/>
        <v>1.3976293838405343E-3</v>
      </c>
      <c r="P9" s="79">
        <f>(O9*H9)*'Assumed Values'!$C$5</f>
        <v>2.662483976216218</v>
      </c>
      <c r="Q9" s="80">
        <f t="shared" si="0"/>
        <v>2.0311962776086099</v>
      </c>
    </row>
    <row r="10" spans="2:19" x14ac:dyDescent="0.3">
      <c r="B10" s="68" t="s">
        <v>94</v>
      </c>
      <c r="F10" s="74">
        <f t="shared" si="1"/>
        <v>2023</v>
      </c>
      <c r="G10" s="71">
        <f t="shared" si="5"/>
        <v>1.0320986207323912E-2</v>
      </c>
      <c r="H10" s="73">
        <f>IF(AND(F10&gt;=Year_Open_to_Traffic?,F10&lt;Year_Open_to_Traffic?+'Assumed Values'!C$9),1,0)</f>
        <v>1</v>
      </c>
      <c r="I10" s="77">
        <f>IF(F10=Year_Open_to_Traffic?,Calculations!$C$12,(I9+I9*G10))</f>
        <v>357.61001813957074</v>
      </c>
      <c r="J10" s="77">
        <f>I10*'Assumed Values'!$C$8</f>
        <v>21.398203572208732</v>
      </c>
      <c r="K10" s="93">
        <f t="shared" si="2"/>
        <v>6.1327502786361647E-3</v>
      </c>
      <c r="L10" s="79">
        <f>(K10*H10)*'Assumed Values'!$C$6</f>
        <v>46.044689092000326</v>
      </c>
      <c r="M10" s="80">
        <f t="shared" si="3"/>
        <v>32.829226961218652</v>
      </c>
      <c r="N10" s="77">
        <f>I10*'Assumed Values'!$C$7</f>
        <v>4.9269004257063047</v>
      </c>
      <c r="O10" s="93">
        <f t="shared" si="4"/>
        <v>1.4120542974341028E-3</v>
      </c>
      <c r="P10" s="79">
        <f>(O10*H10)*'Assumed Values'!$C$5</f>
        <v>2.6899634366119658</v>
      </c>
      <c r="Q10" s="80">
        <f t="shared" si="0"/>
        <v>1.9179067536207244</v>
      </c>
    </row>
    <row r="11" spans="2:19" x14ac:dyDescent="0.3">
      <c r="B11" s="69" t="s">
        <v>96</v>
      </c>
      <c r="C11" s="61">
        <f>'Inputs &amp; Outputs'!B20/'Assumed Values'!$C$13</f>
        <v>353.9568345323741</v>
      </c>
      <c r="F11" s="12">
        <f t="shared" si="1"/>
        <v>2024</v>
      </c>
      <c r="G11" s="71">
        <f t="shared" si="5"/>
        <v>1.0320986207323912E-2</v>
      </c>
      <c r="H11" s="73">
        <f>IF(AND(F11&gt;=Year_Open_to_Traffic?,F11&lt;Year_Open_to_Traffic?+'Assumed Values'!C$9),1,0)</f>
        <v>1</v>
      </c>
      <c r="I11" s="77">
        <f>IF(F11=Year_Open_to_Traffic?,Calculations!$C$12,(I10+I10*G11))</f>
        <v>361.30090620439012</v>
      </c>
      <c r="J11" s="77">
        <f>I11*'Assumed Values'!$C$8</f>
        <v>21.61905413613901</v>
      </c>
      <c r="K11" s="93">
        <f t="shared" si="2"/>
        <v>6.1960463096749309E-3</v>
      </c>
      <c r="L11" s="79">
        <f>(K11*H11)*'Assumed Values'!$C$6</f>
        <v>46.51991569303938</v>
      </c>
      <c r="M11" s="80">
        <f t="shared" si="3"/>
        <v>30.998184074656539</v>
      </c>
      <c r="N11" s="77">
        <f>I11*'Assumed Values'!$C$7</f>
        <v>4.9777508970448787</v>
      </c>
      <c r="O11" s="93">
        <f t="shared" si="4"/>
        <v>1.4266280903619129E-3</v>
      </c>
      <c r="P11" s="79">
        <f>(O11*H11)*'Assumed Values'!$C$5</f>
        <v>2.7177265121394441</v>
      </c>
      <c r="Q11" s="80">
        <f t="shared" si="0"/>
        <v>1.8109359278240913</v>
      </c>
    </row>
    <row r="12" spans="2:19" x14ac:dyDescent="0.3">
      <c r="B12" s="69" t="s">
        <v>106</v>
      </c>
      <c r="C12" s="61">
        <f>(C11*'Inputs &amp; Outputs'!$B$21*2)</f>
        <v>353.9568345323741</v>
      </c>
      <c r="F12" s="74">
        <f t="shared" si="1"/>
        <v>2025</v>
      </c>
      <c r="G12" s="71">
        <f t="shared" si="5"/>
        <v>1.0320986207323912E-2</v>
      </c>
      <c r="H12" s="73">
        <f>IF(AND(F12&gt;=Year_Open_to_Traffic?,F12&lt;Year_Open_to_Traffic?+'Assumed Values'!C$9),1,0)</f>
        <v>1</v>
      </c>
      <c r="I12" s="77">
        <f>IF(F12=Year_Open_to_Traffic?,Calculations!$C$12,(I11+I11*G12))</f>
        <v>365.02988787401927</v>
      </c>
      <c r="J12" s="77">
        <f>I12*'Assumed Values'!$C$8</f>
        <v>21.84218409569349</v>
      </c>
      <c r="K12" s="93">
        <f t="shared" si="2"/>
        <v>6.259995618177026E-3</v>
      </c>
      <c r="L12" s="79">
        <f>(K12*H12)*'Assumed Values'!$C$6</f>
        <v>47.000047101273111</v>
      </c>
      <c r="M12" s="80">
        <f t="shared" si="3"/>
        <v>29.269267200881455</v>
      </c>
      <c r="N12" s="77">
        <f>I12*'Assumed Values'!$C$7</f>
        <v>5.0291261953967732</v>
      </c>
      <c r="O12" s="93">
        <f t="shared" si="4"/>
        <v>1.4413522992055192E-3</v>
      </c>
      <c r="P12" s="79">
        <f>(O12*H12)*'Assumed Values'!$C$5</f>
        <v>2.7457761299865142</v>
      </c>
      <c r="Q12" s="80">
        <f t="shared" si="0"/>
        <v>1.7099313762219732</v>
      </c>
    </row>
    <row r="13" spans="2:19" x14ac:dyDescent="0.3">
      <c r="B13" s="83"/>
      <c r="C13" s="60"/>
      <c r="F13" s="12">
        <f t="shared" si="1"/>
        <v>2026</v>
      </c>
      <c r="G13" s="75">
        <f>$C$6</f>
        <v>2.4794122516786921E-2</v>
      </c>
      <c r="H13" s="73">
        <f>IF(AND(F13&gt;=Year_Open_to_Traffic?,F13&lt;Year_Open_to_Traffic?+'Assumed Values'!C$9),1,0)</f>
        <v>1</v>
      </c>
      <c r="I13" s="77">
        <f>IF(F13=Year_Open_to_Traffic?,Calculations!$C$12,(I12+I12*G13))</f>
        <v>374.0804836362567</v>
      </c>
      <c r="J13" s="77">
        <f>I13*'Assumed Values'!$C$8</f>
        <v>22.383741884196329</v>
      </c>
      <c r="K13" s="93">
        <f t="shared" si="2"/>
        <v>6.4152067164886563E-3</v>
      </c>
      <c r="L13" s="79">
        <f>(K13*H13)*'Assumed Values'!$C$6</f>
        <v>48.165372027396835</v>
      </c>
      <c r="M13" s="80">
        <f t="shared" si="3"/>
        <v>28.032685044707183</v>
      </c>
      <c r="N13" s="77">
        <f>I13*'Assumed Values'!$C$7</f>
        <v>5.1538189664378233</v>
      </c>
      <c r="O13" s="93">
        <f t="shared" si="4"/>
        <v>1.4770893647018733E-3</v>
      </c>
      <c r="P13" s="79">
        <f>(O13*H13)*'Assumed Values'!$C$5</f>
        <v>2.8138552397570686</v>
      </c>
      <c r="Q13" s="80">
        <f t="shared" si="0"/>
        <v>1.6376893684666531</v>
      </c>
    </row>
    <row r="14" spans="2:19" x14ac:dyDescent="0.3">
      <c r="F14" s="74">
        <f t="shared" si="1"/>
        <v>2027</v>
      </c>
      <c r="G14" s="75">
        <f t="shared" ref="G14:G37" si="6">$C$6</f>
        <v>2.4794122516786921E-2</v>
      </c>
      <c r="H14" s="73">
        <f>IF(AND(F14&gt;=Year_Open_to_Traffic?,F14&lt;Year_Open_to_Traffic?+'Assumed Values'!C$9),1,0)</f>
        <v>1</v>
      </c>
      <c r="I14" s="77">
        <f>IF(F14=Year_Open_to_Traffic?,Calculations!$C$12,(I13+I13*G14))</f>
        <v>383.35548097867297</v>
      </c>
      <c r="J14" s="77">
        <f>I14*'Assumed Values'!$C$8</f>
        <v>22.93872712285723</v>
      </c>
      <c r="K14" s="93">
        <f t="shared" si="2"/>
        <v>6.5742661377877912E-3</v>
      </c>
      <c r="L14" s="79">
        <f>(K14*H14)*'Assumed Values'!$C$6</f>
        <v>49.359590162510735</v>
      </c>
      <c r="M14" s="80">
        <f t="shared" si="3"/>
        <v>26.848346609514159</v>
      </c>
      <c r="N14" s="77">
        <f>I14*'Assumed Values'!$C$7</f>
        <v>5.2816033853210227</v>
      </c>
      <c r="O14" s="93">
        <f t="shared" si="4"/>
        <v>1.5137124993785346E-3</v>
      </c>
      <c r="P14" s="79">
        <f>(O14*H14)*'Assumed Values'!$C$5</f>
        <v>2.8836223113161084</v>
      </c>
      <c r="Q14" s="80">
        <f t="shared" si="0"/>
        <v>1.568499475993322</v>
      </c>
    </row>
    <row r="15" spans="2:19" x14ac:dyDescent="0.3">
      <c r="F15" s="12">
        <f t="shared" si="1"/>
        <v>2028</v>
      </c>
      <c r="G15" s="75">
        <f t="shared" si="6"/>
        <v>2.4794122516786921E-2</v>
      </c>
      <c r="H15" s="73">
        <f>IF(AND(F15&gt;=Year_Open_to_Traffic?,F15&lt;Year_Open_to_Traffic?+'Assumed Values'!C$9),1,0)</f>
        <v>1</v>
      </c>
      <c r="I15" s="77">
        <f>IF(F15=Year_Open_to_Traffic?,Calculations!$C$12,(I14+I14*G15))</f>
        <v>392.86044374153994</v>
      </c>
      <c r="J15" s="77">
        <f>I15*'Assumed Values'!$C$8</f>
        <v>23.507472733520494</v>
      </c>
      <c r="K15" s="93">
        <f t="shared" si="2"/>
        <v>6.7372692978660649E-3</v>
      </c>
      <c r="L15" s="79">
        <f>(K15*H15)*'Assumed Values'!$C$6</f>
        <v>50.583417888378413</v>
      </c>
      <c r="M15" s="80">
        <f t="shared" si="3"/>
        <v>25.714044677311787</v>
      </c>
      <c r="N15" s="77">
        <f>I15*'Assumed Values'!$C$7</f>
        <v>5.4125561067417483</v>
      </c>
      <c r="O15" s="93">
        <f t="shared" si="4"/>
        <v>1.5512436725433176E-3</v>
      </c>
      <c r="P15" s="79">
        <f>(O15*H15)*'Assumed Values'!$C$5</f>
        <v>2.9551191961950201</v>
      </c>
      <c r="Q15" s="80">
        <f t="shared" si="0"/>
        <v>1.5022327515594547</v>
      </c>
    </row>
    <row r="16" spans="2:19" x14ac:dyDescent="0.3">
      <c r="B16" s="68" t="s">
        <v>114</v>
      </c>
      <c r="C16" s="76">
        <f>$C$12*'Assumed Values'!C$8</f>
        <v>21.179609118618956</v>
      </c>
      <c r="F16" s="74">
        <f t="shared" si="1"/>
        <v>2029</v>
      </c>
      <c r="G16" s="75">
        <f t="shared" si="6"/>
        <v>2.4794122516786921E-2</v>
      </c>
      <c r="H16" s="73">
        <f>IF(AND(F16&gt;=Year_Open_to_Traffic?,F16&lt;Year_Open_to_Traffic?+'Assumed Values'!C$9),1,0)</f>
        <v>1</v>
      </c>
      <c r="I16" s="77">
        <f>IF(F16=Year_Open_to_Traffic?,Calculations!$C$12,(I15+I15*G16))</f>
        <v>402.60107371566698</v>
      </c>
      <c r="J16" s="77">
        <f>I16*'Assumed Values'!$C$8</f>
        <v>24.09031989253543</v>
      </c>
      <c r="K16" s="93">
        <f t="shared" si="2"/>
        <v>6.9043139782659435E-3</v>
      </c>
      <c r="L16" s="79">
        <f>(K16*H16)*'Assumed Values'!$C$6</f>
        <v>51.837589348820707</v>
      </c>
      <c r="M16" s="80">
        <f t="shared" si="3"/>
        <v>24.627665281722606</v>
      </c>
      <c r="N16" s="77">
        <f>I16*'Assumed Values'!$C$7</f>
        <v>5.546755685981287</v>
      </c>
      <c r="O16" s="93">
        <f t="shared" si="4"/>
        <v>1.5897053982137472E-3</v>
      </c>
      <c r="P16" s="79">
        <f>(O16*H16)*'Assumed Values'!$C$5</f>
        <v>3.0283887835971885</v>
      </c>
      <c r="Q16" s="80">
        <f t="shared" si="0"/>
        <v>1.4387656957479904</v>
      </c>
    </row>
    <row r="17" spans="2:17" x14ac:dyDescent="0.3">
      <c r="F17" s="12">
        <f t="shared" si="1"/>
        <v>2030</v>
      </c>
      <c r="G17" s="75">
        <f t="shared" si="6"/>
        <v>2.4794122516786921E-2</v>
      </c>
      <c r="H17" s="73">
        <f>IF(AND(F17&gt;=Year_Open_to_Traffic?,F17&lt;Year_Open_to_Traffic?+'Assumed Values'!C$9),1,0)</f>
        <v>1</v>
      </c>
      <c r="I17" s="77">
        <f>IF(F17=Year_Open_to_Traffic?,Calculations!$C$12,(I16+I16*G17))</f>
        <v>412.5832140627632</v>
      </c>
      <c r="J17" s="77">
        <f>I17*'Assumed Values'!$C$8</f>
        <v>24.687618235419542</v>
      </c>
      <c r="K17" s="93">
        <f t="shared" si="2"/>
        <v>7.0755003849374337E-3</v>
      </c>
      <c r="L17" s="79">
        <f>(K17*H17)*'Assumed Values'!$C$6</f>
        <v>53.122856890110249</v>
      </c>
      <c r="M17" s="80">
        <f t="shared" si="3"/>
        <v>23.587183768243044</v>
      </c>
      <c r="N17" s="77">
        <f>I17*'Assumed Values'!$C$7</f>
        <v>5.6842826260301917</v>
      </c>
      <c r="O17" s="93">
        <f t="shared" si="4"/>
        <v>1.6291207486226564E-3</v>
      </c>
      <c r="P17" s="79">
        <f>(O17*H17)*'Assumed Values'!$C$5</f>
        <v>3.1034750261261603</v>
      </c>
      <c r="Q17" s="80">
        <f t="shared" si="0"/>
        <v>1.3779800268049687</v>
      </c>
    </row>
    <row r="18" spans="2:17" x14ac:dyDescent="0.3">
      <c r="B18" s="68" t="s">
        <v>115</v>
      </c>
      <c r="C18" s="76">
        <f>$C$12*'Assumed Values'!C$7</f>
        <v>4.8765694199835972</v>
      </c>
      <c r="F18" s="74">
        <f t="shared" si="1"/>
        <v>2031</v>
      </c>
      <c r="G18" s="75">
        <f t="shared" si="6"/>
        <v>2.4794122516786921E-2</v>
      </c>
      <c r="H18" s="73">
        <f>IF(AND(F18&gt;=Year_Open_to_Traffic?,F18&lt;Year_Open_to_Traffic?+'Assumed Values'!C$9),1,0)</f>
        <v>1</v>
      </c>
      <c r="I18" s="77">
        <f>IF(F18=Year_Open_to_Traffic?,Calculations!$C$12,(I17+I17*G18))</f>
        <v>422.81285282060509</v>
      </c>
      <c r="J18" s="77">
        <f>I18*'Assumed Values'!$C$8</f>
        <v>25.299726066596197</v>
      </c>
      <c r="K18" s="93">
        <f t="shared" si="2"/>
        <v>7.2509312083491448E-3</v>
      </c>
      <c r="L18" s="79">
        <f>(K18*H18)*'Assumed Values'!$C$6</f>
        <v>54.439991512285381</v>
      </c>
      <c r="M18" s="80">
        <f t="shared" si="3"/>
        <v>22.590661020952176</v>
      </c>
      <c r="N18" s="77">
        <f>I18*'Assumed Values'!$C$7</f>
        <v>5.8252194258800278</v>
      </c>
      <c r="O18" s="93">
        <f t="shared" si="4"/>
        <v>1.6695133680586464E-3</v>
      </c>
      <c r="P18" s="79">
        <f>(O18*H18)*'Assumed Values'!$C$5</f>
        <v>3.1804229661517214</v>
      </c>
      <c r="Q18" s="80">
        <f t="shared" si="0"/>
        <v>1.3197624602011742</v>
      </c>
    </row>
    <row r="19" spans="2:17" x14ac:dyDescent="0.3">
      <c r="F19" s="12">
        <f t="shared" si="1"/>
        <v>2032</v>
      </c>
      <c r="G19" s="75">
        <f t="shared" si="6"/>
        <v>2.4794122516786921E-2</v>
      </c>
      <c r="H19" s="73">
        <f>IF(AND(F19&gt;=Year_Open_to_Traffic?,F19&lt;Year_Open_to_Traffic?+'Assumed Values'!C$9),1,0)</f>
        <v>1</v>
      </c>
      <c r="I19" s="77">
        <f>IF(F19=Year_Open_to_Traffic?,Calculations!$C$12,(I18+I18*G19))</f>
        <v>433.29612649511137</v>
      </c>
      <c r="J19" s="77">
        <f>I19*'Assumed Values'!$C$8</f>
        <v>25.927010574332531</v>
      </c>
      <c r="K19" s="93">
        <f t="shared" si="2"/>
        <v>7.4307116850897484E-3</v>
      </c>
      <c r="L19" s="79">
        <f>(K19*H19)*'Assumed Values'!$C$6</f>
        <v>55.78978333165383</v>
      </c>
      <c r="M19" s="80">
        <f t="shared" si="3"/>
        <v>21.636239848636329</v>
      </c>
      <c r="N19" s="77">
        <f>I19*'Assumed Values'!$C$7</f>
        <v>5.9696506300124641</v>
      </c>
      <c r="O19" s="93">
        <f t="shared" si="4"/>
        <v>1.7109074870497059E-3</v>
      </c>
      <c r="P19" s="79">
        <f>(O19*H19)*'Assumed Values'!$C$5</f>
        <v>3.2592787628296898</v>
      </c>
      <c r="Q19" s="80">
        <f t="shared" si="0"/>
        <v>1.2640044975069704</v>
      </c>
    </row>
    <row r="20" spans="2:17" x14ac:dyDescent="0.3">
      <c r="F20" s="74">
        <f t="shared" si="1"/>
        <v>2033</v>
      </c>
      <c r="G20" s="75">
        <f t="shared" si="6"/>
        <v>2.4794122516786921E-2</v>
      </c>
      <c r="H20" s="73">
        <f>IF(AND(F20&gt;=Year_Open_to_Traffic?,F20&lt;Year_Open_to_Traffic?+'Assumed Values'!C$9),1,0)</f>
        <v>1</v>
      </c>
      <c r="I20" s="77">
        <f>IF(F20=Year_Open_to_Traffic?,Calculations!$C$12,(I19+I19*G20))</f>
        <v>444.03932374148036</v>
      </c>
      <c r="J20" s="77">
        <f>I20*'Assumed Values'!$C$8</f>
        <v>26.569848051006563</v>
      </c>
      <c r="K20" s="93">
        <f t="shared" si="2"/>
        <v>7.6149496609967835E-3</v>
      </c>
      <c r="L20" s="79">
        <f>(K20*H20)*'Assumed Values'!$C$6</f>
        <v>57.173042054763847</v>
      </c>
      <c r="M20" s="80">
        <f t="shared" si="3"/>
        <v>20.722141523594392</v>
      </c>
      <c r="N20" s="77">
        <f>I20*'Assumed Values'!$C$7</f>
        <v>6.1176628791154073</v>
      </c>
      <c r="O20" s="93">
        <f t="shared" si="4"/>
        <v>1.7533279368985041E-3</v>
      </c>
      <c r="P20" s="79">
        <f>(O20*H20)*'Assumed Values'!$C$5</f>
        <v>3.3400897197916506</v>
      </c>
      <c r="Q20" s="80">
        <f t="shared" si="0"/>
        <v>1.2106022241868482</v>
      </c>
    </row>
    <row r="21" spans="2:17" x14ac:dyDescent="0.3">
      <c r="F21" s="12">
        <f t="shared" si="1"/>
        <v>2034</v>
      </c>
      <c r="G21" s="75">
        <f t="shared" si="6"/>
        <v>2.4794122516786921E-2</v>
      </c>
      <c r="H21" s="73">
        <f>IF(AND(F21&gt;=Year_Open_to_Traffic?,F21&lt;Year_Open_to_Traffic?+'Assumed Values'!C$9),1,0)</f>
        <v>0</v>
      </c>
      <c r="I21" s="77">
        <f>IF(F21=Year_Open_to_Traffic?,Calculations!$C$12,(I20+I20*G21))</f>
        <v>455.04888913659784</v>
      </c>
      <c r="J21" s="77">
        <f>I21*'Assumed Values'!$C$8</f>
        <v>27.228624118835633</v>
      </c>
      <c r="K21" s="93">
        <f t="shared" si="2"/>
        <v>7.8037556558507035E-3</v>
      </c>
      <c r="L21" s="79">
        <f>(K21*H21)*'Assumed Values'!$C$6</f>
        <v>0</v>
      </c>
      <c r="M21" s="80">
        <f t="shared" si="3"/>
        <v>0</v>
      </c>
      <c r="N21" s="77">
        <f>I21*'Assumed Values'!$C$7</f>
        <v>6.2693449620565946</v>
      </c>
      <c r="O21" s="93">
        <f t="shared" si="4"/>
        <v>1.7968001645780713E-3</v>
      </c>
      <c r="P21" s="79">
        <f>(O21*H21)*'Assumed Values'!$C$5</f>
        <v>0</v>
      </c>
      <c r="Q21" s="80">
        <f t="shared" si="0"/>
        <v>0</v>
      </c>
    </row>
    <row r="22" spans="2:17" x14ac:dyDescent="0.3">
      <c r="F22" s="74">
        <f t="shared" si="1"/>
        <v>2035</v>
      </c>
      <c r="G22" s="75">
        <f t="shared" si="6"/>
        <v>2.4794122516786921E-2</v>
      </c>
      <c r="H22" s="73">
        <f>IF(AND(F22&gt;=Year_Open_to_Traffic?,F22&lt;Year_Open_to_Traffic?+'Assumed Values'!C$9),1,0)</f>
        <v>0</v>
      </c>
      <c r="I22" s="77">
        <f>IF(F22=Year_Open_to_Traffic?,Calculations!$C$12,(I21+I21*G22))</f>
        <v>466.33142704497845</v>
      </c>
      <c r="J22" s="77">
        <f>I22*'Assumed Values'!$C$8</f>
        <v>27.903733961201585</v>
      </c>
      <c r="K22" s="93">
        <f t="shared" si="2"/>
        <v>7.9972429296729357E-3</v>
      </c>
      <c r="L22" s="79">
        <f>(K22*H22)*'Assumed Values'!$C$6</f>
        <v>0</v>
      </c>
      <c r="M22" s="80">
        <f t="shared" si="3"/>
        <v>0</v>
      </c>
      <c r="N22" s="77">
        <f>I22*'Assumed Values'!$C$7</f>
        <v>6.4247878691458267</v>
      </c>
      <c r="O22" s="93">
        <f t="shared" si="4"/>
        <v>1.8413502479968028E-3</v>
      </c>
      <c r="P22" s="79">
        <f>(O22*H22)*'Assumed Values'!$C$5</f>
        <v>0</v>
      </c>
      <c r="Q22" s="80">
        <f t="shared" si="0"/>
        <v>0</v>
      </c>
    </row>
    <row r="23" spans="2:17" x14ac:dyDescent="0.3">
      <c r="F23" s="12">
        <f t="shared" si="1"/>
        <v>2036</v>
      </c>
      <c r="G23" s="75">
        <f t="shared" si="6"/>
        <v>2.4794122516786921E-2</v>
      </c>
      <c r="H23" s="73">
        <f>IF(AND(F23&gt;=Year_Open_to_Traffic?,F23&lt;Year_Open_to_Traffic?+'Assumed Values'!C$9),1,0)</f>
        <v>0</v>
      </c>
      <c r="I23" s="77">
        <f>IF(F23=Year_Open_to_Traffic?,Calculations!$C$12,(I22+I22*G23))</f>
        <v>477.89370558055975</v>
      </c>
      <c r="J23" s="77">
        <f>I23*'Assumed Values'!$C$8</f>
        <v>28.595582559711445</v>
      </c>
      <c r="K23" s="93">
        <f t="shared" si="2"/>
        <v>8.1955275506677538E-3</v>
      </c>
      <c r="L23" s="79">
        <f>(K23*H23)*'Assumed Values'!$C$6</f>
        <v>0</v>
      </c>
      <c r="M23" s="80">
        <f t="shared" si="3"/>
        <v>0</v>
      </c>
      <c r="N23" s="77">
        <f>I23*'Assumed Values'!$C$7</f>
        <v>6.5840848467177953</v>
      </c>
      <c r="O23" s="93">
        <f t="shared" si="4"/>
        <v>1.8870049116419517E-3</v>
      </c>
      <c r="P23" s="79">
        <f>(O23*H23)*'Assumed Values'!$C$5</f>
        <v>0</v>
      </c>
      <c r="Q23" s="80">
        <f t="shared" si="0"/>
        <v>0</v>
      </c>
    </row>
    <row r="24" spans="2:17" x14ac:dyDescent="0.3">
      <c r="F24" s="74">
        <f t="shared" si="1"/>
        <v>2037</v>
      </c>
      <c r="G24" s="75">
        <f t="shared" si="6"/>
        <v>2.4794122516786921E-2</v>
      </c>
      <c r="H24" s="73">
        <f>IF(AND(F24&gt;=Year_Open_to_Traffic?,F24&lt;Year_Open_to_Traffic?+'Assumed Values'!C$9),1,0)</f>
        <v>0</v>
      </c>
      <c r="I24" s="77">
        <f>IF(F24=Year_Open_to_Traffic?,Calculations!$C$12,(I23+I23*G24))</f>
        <v>489.74266066672544</v>
      </c>
      <c r="J24" s="77">
        <f>I24*'Assumed Values'!$C$8</f>
        <v>29.304584937135825</v>
      </c>
      <c r="K24" s="93">
        <f t="shared" si="2"/>
        <v>8.3987284648487127E-3</v>
      </c>
      <c r="L24" s="79">
        <f>(K24*H24)*'Assumed Values'!$C$6</f>
        <v>0</v>
      </c>
      <c r="M24" s="80">
        <f t="shared" si="3"/>
        <v>0</v>
      </c>
      <c r="N24" s="77">
        <f>I24*'Assumed Values'!$C$7</f>
        <v>6.7473314530682362</v>
      </c>
      <c r="O24" s="93">
        <f t="shared" si="4"/>
        <v>1.9337915426109807E-3</v>
      </c>
      <c r="P24" s="79">
        <f>(O24*H24)*'Assumed Values'!$C$5</f>
        <v>0</v>
      </c>
      <c r="Q24" s="80">
        <f t="shared" si="0"/>
        <v>0</v>
      </c>
    </row>
    <row r="25" spans="2:17" x14ac:dyDescent="0.3">
      <c r="F25" s="12">
        <f t="shared" si="1"/>
        <v>2038</v>
      </c>
      <c r="G25" s="75">
        <f t="shared" si="6"/>
        <v>2.4794122516786921E-2</v>
      </c>
      <c r="H25" s="73">
        <f>IF(AND(F25&gt;=Year_Open_to_Traffic?,F25&lt;Year_Open_to_Traffic?+'Assumed Values'!C$9),1,0)</f>
        <v>0</v>
      </c>
      <c r="I25" s="77">
        <f>IF(F25=Year_Open_to_Traffic?,Calculations!$C$12,(I24+I24*G25))</f>
        <v>501.88540019699343</v>
      </c>
      <c r="J25" s="77">
        <f>I25*'Assumed Values'!$C$8</f>
        <v>30.031166406370758</v>
      </c>
      <c r="K25" s="93">
        <f t="shared" si="2"/>
        <v>8.6069675673913978E-3</v>
      </c>
      <c r="L25" s="79">
        <f>(K25*H25)*'Assumed Values'!$C$6</f>
        <v>0</v>
      </c>
      <c r="M25" s="80">
        <f t="shared" si="3"/>
        <v>0</v>
      </c>
      <c r="N25" s="77">
        <f>I25*'Assumed Values'!$C$7</f>
        <v>6.9146256157769797</v>
      </c>
      <c r="O25" s="93">
        <f t="shared" si="4"/>
        <v>1.9817382070404037E-3</v>
      </c>
      <c r="P25" s="79">
        <f>(O25*H25)*'Assumed Values'!$C$5</f>
        <v>0</v>
      </c>
      <c r="Q25" s="80">
        <f t="shared" si="0"/>
        <v>0</v>
      </c>
    </row>
    <row r="26" spans="2:17" x14ac:dyDescent="0.3">
      <c r="F26" s="74">
        <f t="shared" si="1"/>
        <v>2039</v>
      </c>
      <c r="G26" s="75">
        <f t="shared" si="6"/>
        <v>2.4794122516786921E-2</v>
      </c>
      <c r="H26" s="73">
        <f>IF(AND(F26&gt;=Year_Open_to_Traffic?,F26&lt;Year_Open_to_Traffic?+'Assumed Values'!C$9),1,0)</f>
        <v>0</v>
      </c>
      <c r="I26" s="77">
        <f>IF(F26=Year_Open_to_Traffic?,Calculations!$C$12,(I25+I25*G26))</f>
        <v>514.32920829886427</v>
      </c>
      <c r="J26" s="77">
        <f>I26*'Assumed Values'!$C$8</f>
        <v>30.775762825572329</v>
      </c>
      <c r="K26" s="93">
        <f t="shared" si="2"/>
        <v>8.8203697757553087E-3</v>
      </c>
      <c r="L26" s="79">
        <f>(K26*H26)*'Assumed Values'!$C$6</f>
        <v>0</v>
      </c>
      <c r="M26" s="80">
        <f t="shared" si="3"/>
        <v>0</v>
      </c>
      <c r="N26" s="77">
        <f>I26*'Assumed Values'!$C$7</f>
        <v>7.0860676904522668</v>
      </c>
      <c r="O26" s="93">
        <f t="shared" si="4"/>
        <v>2.0308736669419607E-3</v>
      </c>
      <c r="P26" s="79">
        <f>(O26*H26)*'Assumed Values'!$C$5</f>
        <v>0</v>
      </c>
      <c r="Q26" s="80">
        <f t="shared" si="0"/>
        <v>0</v>
      </c>
    </row>
    <row r="27" spans="2:17" x14ac:dyDescent="0.3">
      <c r="F27" s="12">
        <f t="shared" si="1"/>
        <v>2040</v>
      </c>
      <c r="G27" s="75">
        <f t="shared" si="6"/>
        <v>2.4794122516786921E-2</v>
      </c>
      <c r="H27" s="73">
        <f>IF(AND(F27&gt;=Year_Open_to_Traffic?,F27&lt;Year_Open_to_Traffic?+'Assumed Values'!C$9),1,0)</f>
        <v>0</v>
      </c>
      <c r="I27" s="77">
        <f>IF(F27=Year_Open_to_Traffic?,Calculations!$C$12,(I26+I26*G27))</f>
        <v>527.0815497033883</v>
      </c>
      <c r="J27" s="77">
        <f>I27*'Assumed Values'!$C$8</f>
        <v>31.538820859617143</v>
      </c>
      <c r="K27" s="93">
        <f t="shared" si="2"/>
        <v>9.0390631046187511E-3</v>
      </c>
      <c r="L27" s="79">
        <f>(K27*H27)*'Assumed Values'!$C$6</f>
        <v>0</v>
      </c>
      <c r="M27" s="80">
        <f t="shared" si="3"/>
        <v>0</v>
      </c>
      <c r="N27" s="77">
        <f>I27*'Assumed Values'!$C$7</f>
        <v>7.2617605209315848</v>
      </c>
      <c r="O27" s="93">
        <f t="shared" si="4"/>
        <v>2.0812273974562361E-3</v>
      </c>
      <c r="P27" s="79">
        <f>(O27*H27)*'Assumed Values'!$C$5</f>
        <v>0</v>
      </c>
      <c r="Q27" s="80">
        <f t="shared" si="0"/>
        <v>0</v>
      </c>
    </row>
    <row r="28" spans="2:17" x14ac:dyDescent="0.3">
      <c r="F28" s="74">
        <f t="shared" si="1"/>
        <v>2041</v>
      </c>
      <c r="G28" s="75">
        <f t="shared" si="6"/>
        <v>2.4794122516786921E-2</v>
      </c>
      <c r="H28" s="73">
        <f>IF(AND(F28&gt;=Year_Open_to_Traffic?,F28&lt;Year_Open_to_Traffic?+'Assumed Values'!C$9),1,0)</f>
        <v>0</v>
      </c>
      <c r="I28" s="77">
        <f>IF(F28=Year_Open_to_Traffic?,Calculations!$C$12,(I27+I27*G28))</f>
        <v>540.15007422307201</v>
      </c>
      <c r="J28" s="77">
        <f>I28*'Assumed Values'!$C$8</f>
        <v>32.320798248045485</v>
      </c>
      <c r="K28" s="93">
        <f t="shared" si="2"/>
        <v>9.2631787426716364E-3</v>
      </c>
      <c r="L28" s="79">
        <f>(K28*H28)*'Assumed Values'!$C$6</f>
        <v>0</v>
      </c>
      <c r="M28" s="80">
        <f t="shared" si="3"/>
        <v>0</v>
      </c>
      <c r="N28" s="77">
        <f>I28*'Assumed Values'!$C$7</f>
        <v>7.4418095009751291</v>
      </c>
      <c r="O28" s="93">
        <f t="shared" si="4"/>
        <v>2.1328296045340597E-3</v>
      </c>
      <c r="P28" s="79">
        <f>(O28*H28)*'Assumed Values'!$C$5</f>
        <v>0</v>
      </c>
      <c r="Q28" s="80">
        <f t="shared" si="0"/>
        <v>0</v>
      </c>
    </row>
    <row r="29" spans="2:17" x14ac:dyDescent="0.3">
      <c r="F29" s="12">
        <f t="shared" si="1"/>
        <v>2042</v>
      </c>
      <c r="G29" s="75">
        <f t="shared" si="6"/>
        <v>2.4794122516786921E-2</v>
      </c>
      <c r="H29" s="73">
        <f>IF(AND(F29&gt;=Year_Open_to_Traffic?,F29&lt;Year_Open_to_Traffic?+'Assumed Values'!C$9),1,0)</f>
        <v>0</v>
      </c>
      <c r="I29" s="77">
        <f>IF(F29=Year_Open_to_Traffic?,Calculations!$C$12,(I28+I28*G29))</f>
        <v>553.54262134081046</v>
      </c>
      <c r="J29" s="77">
        <f>I29*'Assumed Values'!$C$8</f>
        <v>33.122164079647881</v>
      </c>
      <c r="K29" s="93">
        <f t="shared" si="2"/>
        <v>9.4928511313123343E-3</v>
      </c>
      <c r="L29" s="79">
        <f>(K29*H29)*'Assumed Values'!$C$6</f>
        <v>0</v>
      </c>
      <c r="M29" s="80">
        <f t="shared" si="3"/>
        <v>0</v>
      </c>
      <c r="N29" s="77">
        <f>I29*'Assumed Values'!$C$7</f>
        <v>7.6263226374888964</v>
      </c>
      <c r="O29" s="93">
        <f t="shared" si="4"/>
        <v>2.1857112430563076E-3</v>
      </c>
      <c r="P29" s="79">
        <f>(O29*H29)*'Assumed Values'!$C$5</f>
        <v>0</v>
      </c>
      <c r="Q29" s="80">
        <f t="shared" si="0"/>
        <v>0</v>
      </c>
    </row>
    <row r="30" spans="2:17" x14ac:dyDescent="0.3">
      <c r="F30" s="74">
        <f t="shared" si="1"/>
        <v>2043</v>
      </c>
      <c r="G30" s="75">
        <f t="shared" si="6"/>
        <v>2.4794122516786921E-2</v>
      </c>
      <c r="H30" s="73">
        <f>IF(AND(F30&gt;=Year_Open_to_Traffic?,F30&lt;Year_Open_to_Traffic?+'Assumed Values'!C$9),1,0)</f>
        <v>0</v>
      </c>
      <c r="I30" s="77">
        <f>IF(F30=Year_Open_to_Traffic?,Calculations!$C$12,(I29+I29*G30))</f>
        <v>567.26722491259795</v>
      </c>
      <c r="J30" s="77">
        <f>I30*'Assumed Values'!$C$8</f>
        <v>33.943399073859794</v>
      </c>
      <c r="K30" s="93">
        <f t="shared" si="2"/>
        <v>9.7282180452957136E-3</v>
      </c>
      <c r="L30" s="79">
        <f>(K30*H30)*'Assumed Values'!$C$6</f>
        <v>0</v>
      </c>
      <c r="M30" s="80">
        <f t="shared" si="3"/>
        <v>0</v>
      </c>
      <c r="N30" s="77">
        <f>I30*'Assumed Values'!$C$7</f>
        <v>7.8154106153153418</v>
      </c>
      <c r="O30" s="93">
        <f t="shared" si="4"/>
        <v>2.2399040354029644E-3</v>
      </c>
      <c r="P30" s="79">
        <f>(O30*H30)*'Assumed Values'!$C$5</f>
        <v>0</v>
      </c>
      <c r="Q30" s="80">
        <f t="shared" si="0"/>
        <v>0</v>
      </c>
    </row>
    <row r="31" spans="2:17" x14ac:dyDescent="0.3">
      <c r="F31" s="74">
        <f t="shared" si="1"/>
        <v>2044</v>
      </c>
      <c r="G31" s="75">
        <f t="shared" si="6"/>
        <v>2.4794122516786921E-2</v>
      </c>
      <c r="H31" s="73">
        <f>IF(AND(F31&gt;=Year_Open_to_Traffic?,F31&lt;Year_Open_to_Traffic?+'Assumed Values'!C$9),1,0)</f>
        <v>0</v>
      </c>
      <c r="I31" s="77">
        <f>IF(F31=Year_Open_to_Traffic?,Calculations!$C$12,(I30+I30*G31))</f>
        <v>581.33211798683863</v>
      </c>
      <c r="J31" s="77">
        <f>I31*'Assumed Values'!$C$8</f>
        <v>34.784995869133262</v>
      </c>
      <c r="K31" s="93">
        <f t="shared" si="2"/>
        <v>9.9694206753807909E-3</v>
      </c>
      <c r="L31" s="79">
        <f>(K31*H31)*'Assumed Values'!$C$6</f>
        <v>0</v>
      </c>
      <c r="M31" s="80">
        <f t="shared" si="3"/>
        <v>0</v>
      </c>
      <c r="N31" s="77">
        <f>I31*'Assumed Values'!$C$7</f>
        <v>8.0091868636304682</v>
      </c>
      <c r="O31" s="93">
        <f t="shared" si="4"/>
        <v>2.2954404904825913E-3</v>
      </c>
      <c r="P31" s="79">
        <f>(O31*H31)*'Assumed Values'!$C$5</f>
        <v>0</v>
      </c>
      <c r="Q31" s="80">
        <f t="shared" si="0"/>
        <v>0</v>
      </c>
    </row>
    <row r="32" spans="2:17" x14ac:dyDescent="0.3">
      <c r="F32" s="74">
        <f t="shared" si="1"/>
        <v>2045</v>
      </c>
      <c r="G32" s="75">
        <f t="shared" si="6"/>
        <v>2.4794122516786921E-2</v>
      </c>
      <c r="H32" s="73">
        <f>IF(AND(F32&gt;=Year_Open_to_Traffic?,F32&lt;Year_Open_to_Traffic?+'Assumed Values'!C$9),1,0)</f>
        <v>0</v>
      </c>
      <c r="I32" s="77">
        <f>IF(F32=Year_Open_to_Traffic?,Calculations!$C$12,(I31+I31*G32))</f>
        <v>595.74573774314752</v>
      </c>
      <c r="J32" s="77">
        <f>I32*'Assumed Values'!$C$8</f>
        <v>35.64745931845848</v>
      </c>
      <c r="K32" s="93">
        <f t="shared" si="2"/>
        <v>1.0216603713027572E-2</v>
      </c>
      <c r="L32" s="79">
        <f>(K32*H32)*'Assumed Values'!$C$6</f>
        <v>0</v>
      </c>
      <c r="M32" s="80">
        <f t="shared" si="3"/>
        <v>0</v>
      </c>
      <c r="N32" s="77">
        <f>I32*'Assumed Values'!$C$7</f>
        <v>8.2077676239871611</v>
      </c>
      <c r="O32" s="93">
        <f t="shared" si="4"/>
        <v>2.3523539232336095E-3</v>
      </c>
      <c r="P32" s="79">
        <f>(O32*H32)*'Assumed Values'!$C$5</f>
        <v>0</v>
      </c>
      <c r="Q32" s="80">
        <f t="shared" si="0"/>
        <v>0</v>
      </c>
    </row>
    <row r="33" spans="6:17" x14ac:dyDescent="0.3">
      <c r="F33" s="74">
        <f t="shared" si="1"/>
        <v>2046</v>
      </c>
      <c r="G33" s="75">
        <f t="shared" si="6"/>
        <v>2.4794122516786921E-2</v>
      </c>
      <c r="H33" s="73">
        <f>IF(AND(F33&gt;=Year_Open_to_Traffic?,F33&lt;Year_Open_to_Traffic?+'Assumed Values'!C$9),1,0)</f>
        <v>0</v>
      </c>
      <c r="I33" s="77">
        <f>IF(F33=Year_Open_to_Traffic?,Calculations!$C$12,(I32+I32*G33))</f>
        <v>610.5167305536047</v>
      </c>
      <c r="J33" s="77">
        <f>I33*'Assumed Values'!$C$8</f>
        <v>36.531306792212511</v>
      </c>
      <c r="K33" s="93">
        <f t="shared" si="2"/>
        <v>1.0469915437193835E-2</v>
      </c>
      <c r="L33" s="79">
        <f>(K33*H33)*'Assumed Values'!$C$6</f>
        <v>0</v>
      </c>
      <c r="M33" s="80">
        <f t="shared" si="3"/>
        <v>0</v>
      </c>
      <c r="N33" s="77">
        <f>I33*'Assumed Values'!$C$7</f>
        <v>8.4112720200456152</v>
      </c>
      <c r="O33" s="93">
        <f t="shared" si="4"/>
        <v>2.410678474609108E-3</v>
      </c>
      <c r="P33" s="79">
        <f>(O33*H33)*'Assumed Values'!$C$5</f>
        <v>0</v>
      </c>
      <c r="Q33" s="80">
        <f t="shared" si="0"/>
        <v>0</v>
      </c>
    </row>
    <row r="34" spans="6:17" x14ac:dyDescent="0.3">
      <c r="F34" s="74">
        <f t="shared" si="1"/>
        <v>2047</v>
      </c>
      <c r="G34" s="75">
        <f t="shared" si="6"/>
        <v>2.4794122516786921E-2</v>
      </c>
      <c r="H34" s="73">
        <f>IF(AND(F34&gt;=Year_Open_to_Traffic?,F34&lt;Year_Open_to_Traffic?+'Assumed Values'!C$9),1,0)</f>
        <v>0</v>
      </c>
      <c r="I34" s="77">
        <f>IF(F34=Year_Open_to_Traffic?,Calculations!$C$12,(I33+I33*G34))</f>
        <v>625.65395716949899</v>
      </c>
      <c r="J34" s="77">
        <f>I34*'Assumed Values'!$C$8</f>
        <v>37.437068488516964</v>
      </c>
      <c r="K34" s="93">
        <f t="shared" si="2"/>
        <v>1.072950780328402E-2</v>
      </c>
      <c r="L34" s="79">
        <f>(K34*H34)*'Assumed Values'!$C$6</f>
        <v>0</v>
      </c>
      <c r="M34" s="80">
        <f t="shared" si="3"/>
        <v>0</v>
      </c>
      <c r="N34" s="77">
        <f>I34*'Assumed Values'!$C$7</f>
        <v>8.6198221290326487</v>
      </c>
      <c r="O34" s="93">
        <f t="shared" si="4"/>
        <v>2.4704491320571473E-3</v>
      </c>
      <c r="P34" s="79">
        <f>(O34*H34)*'Assumed Values'!$C$5</f>
        <v>0</v>
      </c>
      <c r="Q34" s="80">
        <f t="shared" si="0"/>
        <v>0</v>
      </c>
    </row>
    <row r="35" spans="6:17" x14ac:dyDescent="0.3">
      <c r="F35" s="74">
        <f t="shared" si="1"/>
        <v>2048</v>
      </c>
      <c r="G35" s="75">
        <f t="shared" si="6"/>
        <v>2.4794122516786921E-2</v>
      </c>
      <c r="H35" s="73">
        <f>IF(AND(F35&gt;=Year_Open_to_Traffic?,F35&lt;Year_Open_to_Traffic?+'Assumed Values'!C$9),1,0)</f>
        <v>0</v>
      </c>
      <c r="I35" s="77">
        <f>IF(F35=Year_Open_to_Traffic?,Calculations!$C$12,(I34+I34*G35))</f>
        <v>641.16649803667212</v>
      </c>
      <c r="J35" s="77">
        <f>I35*'Assumed Values'!$C$8</f>
        <v>38.365287751290595</v>
      </c>
      <c r="K35" s="93">
        <f t="shared" si="2"/>
        <v>1.0995536534303466E-2</v>
      </c>
      <c r="L35" s="79">
        <f>(K35*H35)*'Assumed Values'!$C$6</f>
        <v>0</v>
      </c>
      <c r="M35" s="80">
        <f t="shared" si="3"/>
        <v>0</v>
      </c>
      <c r="N35" s="77">
        <f>I35*'Assumed Values'!$C$7</f>
        <v>8.8335430549727967</v>
      </c>
      <c r="O35" s="93">
        <f t="shared" si="4"/>
        <v>2.5317017505088624E-3</v>
      </c>
      <c r="P35" s="79">
        <f>(O35*H35)*'Assumed Values'!$C$5</f>
        <v>0</v>
      </c>
      <c r="Q35" s="80">
        <f t="shared" si="0"/>
        <v>0</v>
      </c>
    </row>
    <row r="36" spans="6:17" x14ac:dyDescent="0.3">
      <c r="F36" s="74">
        <f t="shared" si="1"/>
        <v>2049</v>
      </c>
      <c r="G36" s="75">
        <f t="shared" si="6"/>
        <v>2.4794122516786921E-2</v>
      </c>
      <c r="H36" s="73">
        <f>IF(AND(F36&gt;=Year_Open_to_Traffic?,F36&lt;Year_Open_to_Traffic?+'Assumed Values'!C$9),1,0)</f>
        <v>0</v>
      </c>
      <c r="I36" s="77">
        <f>IF(F36=Year_Open_to_Traffic?,Calculations!$C$12,(I35+I35*G36))</f>
        <v>657.06365874265259</v>
      </c>
      <c r="J36" s="77">
        <f>I36*'Assumed Values'!$C$8</f>
        <v>39.316521396187881</v>
      </c>
      <c r="K36" s="93">
        <f t="shared" si="2"/>
        <v>1.1268161214272793E-2</v>
      </c>
      <c r="L36" s="79">
        <f>(K36*H36)*'Assumed Values'!$C$6</f>
        <v>0</v>
      </c>
      <c r="M36" s="80">
        <f t="shared" si="3"/>
        <v>0</v>
      </c>
      <c r="N36" s="77">
        <f>I36*'Assumed Values'!$C$7</f>
        <v>9.0525630037351039</v>
      </c>
      <c r="O36" s="93">
        <f t="shared" si="4"/>
        <v>2.5944730738869429E-3</v>
      </c>
      <c r="P36" s="79">
        <f>(O36*H36)*'Assumed Values'!$C$5</f>
        <v>0</v>
      </c>
      <c r="Q36" s="80">
        <f t="shared" si="0"/>
        <v>0</v>
      </c>
    </row>
    <row r="37" spans="6:17" x14ac:dyDescent="0.3">
      <c r="F37" s="74">
        <f t="shared" si="1"/>
        <v>2050</v>
      </c>
      <c r="G37" s="75">
        <f t="shared" si="6"/>
        <v>2.4794122516786921E-2</v>
      </c>
      <c r="H37" s="73">
        <f>IF(AND(F37&gt;=Year_Open_to_Traffic?,F37&lt;Year_Open_to_Traffic?+'Assumed Values'!C$9),1,0)</f>
        <v>0</v>
      </c>
      <c r="I37" s="77">
        <f>IF(F37=Year_Open_to_Traffic?,Calculations!$C$12,(I36+I36*G37))</f>
        <v>673.35497559884618</v>
      </c>
      <c r="J37" s="77">
        <f>I37*'Assumed Values'!$C$8</f>
        <v>40.291340044618835</v>
      </c>
      <c r="K37" s="93">
        <f t="shared" si="2"/>
        <v>1.1547545383958378E-2</v>
      </c>
      <c r="L37" s="79">
        <f>(K37*H37)*'Assumed Values'!$C$6</f>
        <v>0</v>
      </c>
      <c r="M37" s="80">
        <f t="shared" si="3"/>
        <v>0</v>
      </c>
      <c r="N37" s="77">
        <f>I37*'Assumed Values'!$C$7</f>
        <v>9.2770133599406446</v>
      </c>
      <c r="O37" s="93">
        <f t="shared" si="4"/>
        <v>2.6588007571474006E-3</v>
      </c>
      <c r="P37" s="79">
        <f>(O37*H37)*'Assumed Values'!$C$5</f>
        <v>0</v>
      </c>
      <c r="Q37" s="80">
        <f t="shared" si="0"/>
        <v>0</v>
      </c>
    </row>
    <row r="38" spans="6:17" x14ac:dyDescent="0.3">
      <c r="F38" s="13" t="s">
        <v>63</v>
      </c>
      <c r="G38" s="13"/>
      <c r="H38" s="77"/>
      <c r="I38" s="76"/>
      <c r="J38" s="77"/>
      <c r="K38" s="78">
        <f>SUM(K5:K37)</f>
        <v>0.24320463585724686</v>
      </c>
      <c r="L38" s="79">
        <f>SUM(L5:L37)</f>
        <v>605.61061229507754</v>
      </c>
      <c r="M38" s="80">
        <f>SUM(M5:M37)</f>
        <v>321.62407439019478</v>
      </c>
      <c r="N38" s="77"/>
      <c r="O38" s="78">
        <f>SUM(O5:O37)</f>
        <v>5.5997413169494456E-2</v>
      </c>
      <c r="P38" s="79">
        <f>SUM(P5:P37)</f>
        <v>35.380202060718752</v>
      </c>
      <c r="Q38" s="80">
        <f>SUM(Q5:Q37)</f>
        <v>18.789506835742777</v>
      </c>
    </row>
    <row r="43" spans="6:17" x14ac:dyDescent="0.3">
      <c r="K43" s="87"/>
    </row>
    <row r="44" spans="6:17" x14ac:dyDescent="0.3">
      <c r="J44" s="85"/>
      <c r="K44" s="85"/>
    </row>
    <row r="45" spans="6:17" x14ac:dyDescent="0.3">
      <c r="J45" s="85"/>
    </row>
    <row r="46" spans="6:17" x14ac:dyDescent="0.3">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4" x14ac:dyDescent="0.3">
      <c r="B2" s="2" t="s">
        <v>101</v>
      </c>
    </row>
    <row r="4" spans="2:4" x14ac:dyDescent="0.3">
      <c r="B4" s="28" t="s">
        <v>23</v>
      </c>
    </row>
    <row r="5" spans="2:4" x14ac:dyDescent="0.3">
      <c r="B5" s="30" t="s">
        <v>110</v>
      </c>
      <c r="C5" s="31">
        <f>'Value of Emissions'!C4</f>
        <v>1905</v>
      </c>
    </row>
    <row r="6" spans="2:4" x14ac:dyDescent="0.3">
      <c r="B6" s="30" t="s">
        <v>118</v>
      </c>
      <c r="C6" s="31">
        <f>'Value of Emissions'!C5</f>
        <v>7508</v>
      </c>
    </row>
    <row r="7" spans="2:4" x14ac:dyDescent="0.3">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1.37772997841E-2</v>
      </c>
      <c r="D7" s="114" t="s">
        <v>78</v>
      </c>
    </row>
    <row r="8" spans="2:4" x14ac:dyDescent="0.3">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5.9836700558699898E-2</v>
      </c>
      <c r="D8" s="114"/>
    </row>
    <row r="9" spans="2:4" x14ac:dyDescent="0.3">
      <c r="B9" s="29" t="s">
        <v>61</v>
      </c>
      <c r="C9" s="30">
        <f>'Inputs &amp; Outputs'!$B$17</f>
        <v>12</v>
      </c>
    </row>
    <row r="10" spans="2:4" x14ac:dyDescent="0.3">
      <c r="B10" s="29" t="s">
        <v>79</v>
      </c>
      <c r="C10" s="56" t="str">
        <f>'Inputs &amp; Outputs'!B15</f>
        <v>Non Freeway</v>
      </c>
    </row>
    <row r="11" spans="2:4" s="91" customFormat="1" x14ac:dyDescent="0.3">
      <c r="B11" s="94"/>
      <c r="C11" s="95"/>
    </row>
    <row r="12" spans="2:4" s="91" customFormat="1" x14ac:dyDescent="0.3">
      <c r="B12" s="15" t="s">
        <v>4</v>
      </c>
      <c r="C12"/>
    </row>
    <row r="13" spans="2:4" s="91" customFormat="1" x14ac:dyDescent="0.3">
      <c r="B13" s="16" t="s">
        <v>113</v>
      </c>
      <c r="C13" s="16">
        <v>1.39</v>
      </c>
    </row>
    <row r="14" spans="2:4" s="91" customFormat="1" x14ac:dyDescent="0.3">
      <c r="B14" s="16" t="s">
        <v>112</v>
      </c>
      <c r="C14" s="16">
        <v>260</v>
      </c>
    </row>
    <row r="16" spans="2:4" ht="72" x14ac:dyDescent="0.3">
      <c r="D16" s="51" t="s">
        <v>24</v>
      </c>
    </row>
    <row r="24" spans="2:2" x14ac:dyDescent="0.3">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4.4" x14ac:dyDescent="0.3"/>
  <cols>
    <col min="1" max="1" width="2.88671875" customWidth="1"/>
    <col min="2" max="2" width="33.6640625" customWidth="1"/>
    <col min="3" max="3" width="20" bestFit="1" customWidth="1"/>
  </cols>
  <sheetData>
    <row r="1" spans="2:5" x14ac:dyDescent="0.3">
      <c r="B1" s="3" t="s">
        <v>25</v>
      </c>
    </row>
    <row r="2" spans="2:5" x14ac:dyDescent="0.3">
      <c r="B2" s="3"/>
    </row>
    <row r="3" spans="2:5" x14ac:dyDescent="0.3">
      <c r="B3" s="32" t="s">
        <v>0</v>
      </c>
      <c r="C3" s="32" t="s">
        <v>102</v>
      </c>
    </row>
    <row r="4" spans="2:5" x14ac:dyDescent="0.3">
      <c r="B4" s="30" t="s">
        <v>1</v>
      </c>
      <c r="C4" s="81">
        <v>1905</v>
      </c>
    </row>
    <row r="5" spans="2:5" x14ac:dyDescent="0.3">
      <c r="B5" s="30" t="s">
        <v>2</v>
      </c>
      <c r="C5" s="81">
        <v>7508</v>
      </c>
    </row>
    <row r="8" spans="2:5" x14ac:dyDescent="0.3">
      <c r="B8" s="90" t="s">
        <v>107</v>
      </c>
    </row>
    <row r="9" spans="2:5" x14ac:dyDescent="0.3">
      <c r="B9" s="89"/>
    </row>
    <row r="11" spans="2:5" x14ac:dyDescent="0.3">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4.4" x14ac:dyDescent="0.3"/>
  <cols>
    <col min="1" max="1" width="13.44140625" bestFit="1" customWidth="1"/>
    <col min="3" max="8" width="12" style="46" bestFit="1" customWidth="1"/>
    <col min="9" max="9" width="12.109375" style="46" bestFit="1" customWidth="1"/>
    <col min="10" max="10" width="12" style="46" bestFit="1" customWidth="1"/>
    <col min="11" max="11" width="12.109375" bestFit="1" customWidth="1"/>
    <col min="14" max="14" width="30" customWidth="1"/>
  </cols>
  <sheetData>
    <row r="1" spans="1:14" s="91" customFormat="1" x14ac:dyDescent="0.3">
      <c r="A1" s="115" t="s">
        <v>121</v>
      </c>
      <c r="B1" s="115"/>
      <c r="C1" s="115"/>
      <c r="D1" s="115"/>
      <c r="E1" s="115"/>
      <c r="F1" s="115"/>
      <c r="G1" s="115"/>
      <c r="H1" s="115"/>
      <c r="I1" s="115"/>
      <c r="J1" s="115"/>
    </row>
    <row r="2" spans="1:14"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3">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3">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3">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3">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3">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3">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3">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3">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3">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3">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3">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3">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3">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3">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3">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3">
      <c r="C19" s="46"/>
      <c r="D19" s="46"/>
      <c r="E19" s="46"/>
      <c r="F19" s="46"/>
      <c r="G19" s="46"/>
      <c r="H19" s="46"/>
      <c r="I19" s="46"/>
      <c r="J19" s="46"/>
    </row>
    <row r="20" spans="1:11" x14ac:dyDescent="0.3">
      <c r="A20" s="115" t="s">
        <v>121</v>
      </c>
      <c r="B20" s="115"/>
      <c r="C20" s="115"/>
      <c r="D20" s="115"/>
      <c r="E20" s="115"/>
      <c r="F20" s="115"/>
      <c r="G20" s="115"/>
      <c r="H20" s="115"/>
      <c r="I20" s="115"/>
      <c r="J20" s="115"/>
    </row>
    <row r="21" spans="1:11" x14ac:dyDescent="0.3">
      <c r="A21" s="97" t="s">
        <v>79</v>
      </c>
      <c r="B21" s="97" t="s">
        <v>80</v>
      </c>
      <c r="C21" s="110" t="s">
        <v>69</v>
      </c>
      <c r="D21" s="110" t="s">
        <v>70</v>
      </c>
      <c r="E21" s="110" t="s">
        <v>71</v>
      </c>
      <c r="F21" s="110" t="s">
        <v>72</v>
      </c>
      <c r="G21" s="110" t="s">
        <v>73</v>
      </c>
      <c r="H21" s="110" t="s">
        <v>74</v>
      </c>
      <c r="I21" s="110" t="s">
        <v>75</v>
      </c>
      <c r="J21" s="110" t="s">
        <v>76</v>
      </c>
    </row>
    <row r="22" spans="1:11" x14ac:dyDescent="0.3">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3">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3">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3">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3">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3">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3">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3">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3">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3">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3">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3">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3">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3">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3">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3">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3">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4.4" x14ac:dyDescent="0.3"/>
  <cols>
    <col min="1" max="1" width="14.44140625" bestFit="1" customWidth="1"/>
    <col min="3" max="9" width="12.109375" style="46" bestFit="1" customWidth="1"/>
    <col min="10" max="10" width="10.5546875" style="46" bestFit="1" customWidth="1"/>
  </cols>
  <sheetData>
    <row r="1" spans="1:14" s="91" customFormat="1" x14ac:dyDescent="0.3">
      <c r="A1" s="115" t="s">
        <v>121</v>
      </c>
      <c r="B1" s="115"/>
      <c r="C1" s="115"/>
      <c r="D1" s="115"/>
      <c r="E1" s="115"/>
      <c r="F1" s="115"/>
      <c r="G1" s="115"/>
      <c r="H1" s="115"/>
      <c r="I1" s="115"/>
      <c r="J1" s="115"/>
    </row>
    <row r="2" spans="1:14" s="2" customFormat="1"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3">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3">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3">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3">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3">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3">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3">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3">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3">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3">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3">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3">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3">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3">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3">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3">
      <c r="C19" s="46"/>
      <c r="D19" s="46"/>
      <c r="E19" s="46"/>
      <c r="F19" s="46"/>
      <c r="G19" s="46"/>
      <c r="H19" s="46"/>
      <c r="I19" s="46"/>
      <c r="J19" s="46"/>
    </row>
    <row r="20" spans="1:10" x14ac:dyDescent="0.3">
      <c r="A20" s="115" t="s">
        <v>121</v>
      </c>
      <c r="B20" s="115"/>
      <c r="C20" s="115"/>
      <c r="D20" s="115"/>
      <c r="E20" s="115"/>
      <c r="F20" s="115"/>
      <c r="G20" s="115"/>
      <c r="H20" s="115"/>
      <c r="I20" s="115"/>
      <c r="J20" s="115"/>
    </row>
    <row r="21" spans="1:10" s="2" customFormat="1" x14ac:dyDescent="0.3">
      <c r="A21" s="97" t="s">
        <v>79</v>
      </c>
      <c r="B21" s="97" t="s">
        <v>80</v>
      </c>
      <c r="C21" s="110" t="s">
        <v>69</v>
      </c>
      <c r="D21" s="110" t="s">
        <v>70</v>
      </c>
      <c r="E21" s="110" t="s">
        <v>71</v>
      </c>
      <c r="F21" s="110" t="s">
        <v>72</v>
      </c>
      <c r="G21" s="110" t="s">
        <v>73</v>
      </c>
      <c r="H21" s="110" t="s">
        <v>74</v>
      </c>
      <c r="I21" s="110" t="s">
        <v>75</v>
      </c>
      <c r="J21" s="110" t="s">
        <v>76</v>
      </c>
    </row>
    <row r="22" spans="1:10" x14ac:dyDescent="0.3">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3">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3">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3">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3">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3">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3">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3">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3">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3">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3">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3">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3">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3">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3">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3">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2018-04-10T17:15:43Z</cp:lastPrinted>
  <dcterms:created xsi:type="dcterms:W3CDTF">2012-07-25T15:48:32Z</dcterms:created>
  <dcterms:modified xsi:type="dcterms:W3CDTF">2018-10-25T17:39:29Z</dcterms:modified>
</cp:coreProperties>
</file>