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Sidewalks\"/>
    </mc:Choice>
  </mc:AlternateContent>
  <xr:revisionPtr revIDLastSave="0" documentId="13_ncr:1_{DCBBC080-D033-4E42-B6F5-FA15357B3A0D}"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<sst xmlns="http://schemas.openxmlformats.org/spreadsheetml/2006/main" count="291" uniqueCount="235">
  <si>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</si>
  <si>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</si>
  <si>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</si>
  <si>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</si>
  <si>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</si>
  <si>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</si>
  <si>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</si>
  <si>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</si>
  <si>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</si>
  <si>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</si>
  <si>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</si>
  <si>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</si>
  <si>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</si>
  <si>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</si>
  <si>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</si>
  <si>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</si>
  <si>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</si>
  <si>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</si>
  <si>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</si>
  <si>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</si>
  <si>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</si>
  <si>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</si>
  <si>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</si>
  <si>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</si>
  <si>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</si>
  <si>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</si>
  <si>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</si>
  <si>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</si>
  <si>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</si>
  <si>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</si>
  <si>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</si>
  <si>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</si>
  <si>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</si>
  <si>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</si>
  <si>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</si>
  <si>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</si>
  <si>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</si>
  <si>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</si>
  <si>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</si>
  <si>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</si>
  <si>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</si>
  <si>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</si>
  <si>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</si>
  <si>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</si>
  <si>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</si>
  <si>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</si>
  <si>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</si>
  <si>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</si>
  <si>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</si>
  <si>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</si>
  <si>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</si>
  <si>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</si>
  <si>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</si>
  <si>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</si>
  <si>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</si>
  <si>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</si>
  <si>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</si>
  <si>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</si>
  <si>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</si>
  <si>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</si>
  <si>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</si>
  <si>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</si>
  <si>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</si>
  <si>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</si>
  <si>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</si>
  <si>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</si>
  <si>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</si>
  <si>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</si>
  <si>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</si>
  <si>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</si>
  <si>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</si>
  <si>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</si>
  <si>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</si>
  <si>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</si>
  <si>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</si>
  <si>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</si>
  <si>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</si>
  <si>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</si>
  <si>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</si>
  <si>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</si>
  <si>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</si>
  <si>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</si>
  <si>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</si>
  <si>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</si>
  <si>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</si>
  <si>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</si>
  <si>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</si>
  <si>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</si>
  <si>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</si>
  <si>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</si>
  <si>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</si>
  <si>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</si>
  <si>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</si>
  <si>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</si>
  <si>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</si>
  <si>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</si>
  <si>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</si>
  <si>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</si>
  <si>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</si>
  <si>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</si>
  <si>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</si>
  <si>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</si>
  <si>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</si>
  <si>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</si>
  <si>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</si>
  <si>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</si>
  <si>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</si>
  <si>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</si>
  <si>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</si>
  <si>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</si>
  <si>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</si>
  <si>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</si>
  <si>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</si>
  <si>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</si>
  <si>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</si>
  <si>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</si>
  <si>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</si>
  <si>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</si>
  <si>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</si>
  <si>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</si>
  <si>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</si>
  <si>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</si>
  <si>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</si>
  <si>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</si>
  <si>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</si>
  <si>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</si>
  <si>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</si>
  <si>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</si>
  <si>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</si>
  <si>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</si>
  <si>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</si>
  <si>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</si>
  <si>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</si>
  <si>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</si>
  <si>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</si>
  <si>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</si>
  <si>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</si>
  <si>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</si>
  <si>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</si>
  <si>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</si>
  <si>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</si>
  <si>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</si>
  <si>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</si>
  <si>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</si>
  <si>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</si>
  <si>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</si>
  <si>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</si>
  <si>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</si>
  <si>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</si>
  <si>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</si>
  <si>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</si>
  <si>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</si>
  <si>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</si>
  <si>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</si>
  <si>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</si>
  <si>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</si>
  <si>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</si>
  <si>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</si>
  <si>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</si>
  <si>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</si>
  <si>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</si>
  <si>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</si>
  <si>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</si>
  <si>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</si>
  <si>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</si>
  <si>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</si>
  <si>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</si>
  <si>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</si>
  <si>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</si>
  <si>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</si>
  <si>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</si>
  <si>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</si>
  <si>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</si>
  <si>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</si>
  <si>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</si>
  <si>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</si>
  <si>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</si>
  <si>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</si>
  <si>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</si>
  <si>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</si>
  <si>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</si>
  <si>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</si>
  <si>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</si>
  <si>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</si>
  <si>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</si>
  <si>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</si>
  <si>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</si>
  <si>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</si>
  <si>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</si>
  <si>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</si>
  <si>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</si>
  <si>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</si>
  <si>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</si>
  <si>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</si>
  <si>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</si>
  <si>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</si>
  <si>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</si>
  <si>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</si>
  <si>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</si>
  <si>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</si>
  <si>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</si>
  <si>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</si>
  <si>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</si>
  <si>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</si>
  <si>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</si>
  <si>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</si>
  <si>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</si>
  <si>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</si>
  <si>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</si>
  <si>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</si>
  <si>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</si>
  <si>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</si>
  <si>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</si>
  <si>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</si>
  <si>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</si>
  <si>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</si>
  <si>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</si>
  <si>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</si>
  <si>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</si>
  <si>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</si>
  <si>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</si>
  <si>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</si>
  <si>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</si>
  <si>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</si>
  <si>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</si>
  <si>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</si>
  <si>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</si>
  <si>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</si>
  <si>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</si>
  <si>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</si>
  <si>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</si>
  <si>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</si>
  <si>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</si>
  <si>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Conroe Pedestrian-Transit Access and Mobility Improvements</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</si>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</sst>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0" borderId="0" xfId="0" applyNumberFormat="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E14" sqref="E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8" t="s">
        <v>233</v>
      </c>
      <c r="D6" s="8"/>
      <c r="E6" s="103" t="s">
        <v>187</v>
      </c>
    </row>
    <row r="7" spans="1:7" x14ac:dyDescent="0.25">
      <c r="A7" s="8" t="s">
        <v>98</v>
      </c>
      <c r="B7" s="137" t="s">
        <v>202</v>
      </c>
      <c r="D7" s="104"/>
      <c r="E7" s="103" t="s">
        <v>196</v>
      </c>
    </row>
    <row r="8" spans="1:7" x14ac:dyDescent="0.25">
      <c r="A8" s="8" t="s">
        <v>99</v>
      </c>
      <c r="B8" s="137" t="s">
        <v>206</v>
      </c>
      <c r="D8" s="105"/>
      <c r="E8" s="103" t="s">
        <v>216</v>
      </c>
    </row>
    <row r="9" spans="1:7" x14ac:dyDescent="0.25">
      <c r="A9" s="8" t="s">
        <v>100</v>
      </c>
      <c r="B9" s="137" t="s">
        <v>234</v>
      </c>
      <c r="D9" s="106"/>
      <c r="E9" s="103" t="s">
        <v>188</v>
      </c>
    </row>
    <row r="10" spans="1:7" x14ac:dyDescent="0.25">
      <c r="A10" s="8" t="s">
        <v>101</v>
      </c>
      <c r="B10" s="137" t="s">
        <v>234</v>
      </c>
    </row>
    <row r="11" spans="1:7" x14ac:dyDescent="0.25">
      <c r="A11" s="8" t="s">
        <v>102</v>
      </c>
      <c r="B11" s="137" t="s">
        <v>234</v>
      </c>
    </row>
    <row r="12" spans="1:7" x14ac:dyDescent="0.25">
      <c r="A12" s="8" t="s">
        <v>103</v>
      </c>
      <c r="B12" s="137">
        <f>25142/5280</f>
        <v>4.7617424242424242</v>
      </c>
    </row>
    <row r="13" spans="1:7" x14ac:dyDescent="0.25">
      <c r="A13" s="8" t="s">
        <v>68</v>
      </c>
      <c r="B13" s="137">
        <v>171</v>
      </c>
      <c r="F13" s="120"/>
    </row>
    <row r="14" spans="1:7" x14ac:dyDescent="0.25">
      <c r="A14" s="8" t="s">
        <v>69</v>
      </c>
      <c r="B14" s="137"/>
    </row>
    <row r="17" spans="1:7" x14ac:dyDescent="0.25">
      <c r="A17" s="119" t="s">
        <v>120</v>
      </c>
      <c r="E17" s="151" t="s">
        <v>231</v>
      </c>
      <c r="F17" s="152"/>
    </row>
    <row r="18" spans="1:7" x14ac:dyDescent="0.25">
      <c r="A18" s="8" t="s">
        <v>79</v>
      </c>
      <c r="B18" s="138">
        <v>2022</v>
      </c>
      <c r="E18" s="105" t="s">
        <v>232</v>
      </c>
      <c r="F18" s="144">
        <f>$B$12/$B$32</f>
        <v>0.140051247771836</v>
      </c>
    </row>
    <row r="19" spans="1:7" ht="30" x14ac:dyDescent="0.25">
      <c r="A19" s="8" t="s">
        <v>121</v>
      </c>
      <c r="B19" s="139" t="s">
        <v>136</v>
      </c>
      <c r="E19" s="107" t="s">
        <v>212</v>
      </c>
      <c r="F19" s="145">
        <f>$B$12/$B$33</f>
        <v>0.17006222943722943</v>
      </c>
    </row>
    <row r="20" spans="1:7" ht="30" x14ac:dyDescent="0.25">
      <c r="A20" s="135" t="s">
        <v>208</v>
      </c>
      <c r="B20" s="136">
        <f>VLOOKUP(B19,'Delay Reduction Factors'!B4:C80,2, FALSE)</f>
        <v>0.01</v>
      </c>
      <c r="E20" s="107" t="s">
        <v>209</v>
      </c>
      <c r="F20" s="144">
        <f>$F$19-$F$18</f>
        <v>3.0010981665393427E-2</v>
      </c>
    </row>
    <row r="21" spans="1:7" x14ac:dyDescent="0.25">
      <c r="A21" s="8" t="s">
        <v>104</v>
      </c>
      <c r="B21" s="79">
        <v>50</v>
      </c>
      <c r="D21" s="121"/>
      <c r="E21" s="105" t="s">
        <v>210</v>
      </c>
      <c r="F21" s="144">
        <f>$F$20*$B$20</f>
        <v>3.0010981665393426E-4</v>
      </c>
      <c r="G21" s="122"/>
    </row>
    <row r="22" spans="1:7" s="113" customFormat="1" x14ac:dyDescent="0.25">
      <c r="D22" s="121"/>
      <c r="E22" s="105" t="s">
        <v>211</v>
      </c>
      <c r="F22" s="144">
        <f>$F$20-$F$21</f>
        <v>2.9710871848739492E-2</v>
      </c>
      <c r="G22" s="122"/>
    </row>
    <row r="23" spans="1:7" x14ac:dyDescent="0.25">
      <c r="E23" s="105" t="s">
        <v>213</v>
      </c>
      <c r="F23" s="144">
        <f>$F$18+$F$22</f>
        <v>0.1697621196205755</v>
      </c>
    </row>
    <row r="24" spans="1:7" x14ac:dyDescent="0.25">
      <c r="A24" s="119" t="s">
        <v>94</v>
      </c>
      <c r="B24" s="123"/>
      <c r="D24" s="121"/>
      <c r="G24" s="124"/>
    </row>
    <row r="25" spans="1:7" x14ac:dyDescent="0.25">
      <c r="A25" s="8" t="s">
        <v>218</v>
      </c>
      <c r="B25" s="140">
        <v>5905</v>
      </c>
      <c r="D25" s="121"/>
      <c r="G25" s="124"/>
    </row>
    <row r="28" spans="1:7" x14ac:dyDescent="0.25">
      <c r="A28" s="105" t="s">
        <v>227</v>
      </c>
      <c r="B28" s="134">
        <f>IF(FacilityType='Delay Reduction Factors'!N5,'Inputs &amp; Outputs'!B25*45%, B25*43%)</f>
        <v>2539.15</v>
      </c>
      <c r="D28" s="121"/>
      <c r="E28" s="125" t="s">
        <v>95</v>
      </c>
      <c r="F28" s="126" t="s">
        <v>20</v>
      </c>
      <c r="G28" s="127" t="s">
        <v>19</v>
      </c>
    </row>
    <row r="29" spans="1:7" x14ac:dyDescent="0.25">
      <c r="A29" s="105" t="s">
        <v>228</v>
      </c>
      <c r="B29" s="115">
        <f>VLOOKUP(Year_Open_to_Traffic?,Calculations!H4:I36,2)</f>
        <v>2754.00761944653</v>
      </c>
      <c r="D29" s="121"/>
      <c r="E29" s="107" t="s">
        <v>122</v>
      </c>
      <c r="F29" s="101">
        <f>$B$29*$F$23</f>
        <v>467.52617092845821</v>
      </c>
      <c r="G29" s="102">
        <f>$B$29*$F$19</f>
        <v>468.35267565019382</v>
      </c>
    </row>
    <row r="30" spans="1:7" x14ac:dyDescent="0.25">
      <c r="A30" s="124"/>
      <c r="B30" s="100"/>
      <c r="D30" s="121"/>
    </row>
    <row r="32" spans="1:7" x14ac:dyDescent="0.25">
      <c r="A32" s="128" t="s">
        <v>221</v>
      </c>
      <c r="B32" s="141">
        <v>34</v>
      </c>
      <c r="D32" s="121"/>
    </row>
    <row r="33" spans="1:7" ht="30" x14ac:dyDescent="0.25">
      <c r="A33" s="129" t="s">
        <v>222</v>
      </c>
      <c r="B33" s="142">
        <v>28</v>
      </c>
      <c r="D33" s="121"/>
      <c r="E33" s="121"/>
      <c r="F33" s="130"/>
      <c r="G33" s="117"/>
    </row>
    <row r="34" spans="1:7" x14ac:dyDescent="0.25">
      <c r="A34" s="131"/>
      <c r="B34" s="143"/>
      <c r="E34" s="117"/>
      <c r="F34" s="130"/>
      <c r="G34" s="130"/>
    </row>
    <row r="35" spans="1:7" x14ac:dyDescent="0.25">
      <c r="A35" s="105" t="s">
        <v>223</v>
      </c>
      <c r="B35" s="147">
        <f>$B$28</f>
        <v>2539.15</v>
      </c>
      <c r="E35" s="148"/>
    </row>
    <row r="36" spans="1:7" x14ac:dyDescent="0.25">
      <c r="A36" s="128" t="s">
        <v>224</v>
      </c>
      <c r="B36" s="141">
        <v>10196</v>
      </c>
      <c r="E36" s="148"/>
    </row>
    <row r="37" spans="1:7" x14ac:dyDescent="0.25">
      <c r="A37" s="128" t="s">
        <v>229</v>
      </c>
      <c r="B37" s="141">
        <v>2927</v>
      </c>
      <c r="E37" s="148"/>
    </row>
    <row r="38" spans="1:7" x14ac:dyDescent="0.25">
      <c r="A38" s="128" t="s">
        <v>225</v>
      </c>
      <c r="B38" s="141">
        <v>10196</v>
      </c>
      <c r="E38" s="148"/>
    </row>
    <row r="39" spans="1:7" x14ac:dyDescent="0.25">
      <c r="A39" s="128" t="s">
        <v>230</v>
      </c>
      <c r="B39" s="141">
        <v>4777</v>
      </c>
      <c r="E39" s="148"/>
    </row>
    <row r="40" spans="1:7" x14ac:dyDescent="0.25">
      <c r="A40" s="128" t="s">
        <v>226</v>
      </c>
      <c r="B40" s="141">
        <v>10196</v>
      </c>
      <c r="E40" s="148"/>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96.70137525958738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121556.80444139913</v>
      </c>
      <c r="F4" s="22">
        <f>'Inputs &amp; Outputs'!G29*Annual_Days_of_Travel</f>
        <v>121771.69566905039</v>
      </c>
      <c r="H4" s="59">
        <v>2018</v>
      </c>
      <c r="I4" s="60">
        <f>'Inputs &amp; Outputs'!B28</f>
        <v>2539.15</v>
      </c>
      <c r="J4" s="60">
        <f>IF(H4=Year_Open_to_Traffic?,$F$4,0)</f>
        <v>0</v>
      </c>
      <c r="K4" s="60">
        <f>IF(H4=Year_Open_to_Traffic?,Calculations!$E$4,0)</f>
        <v>0</v>
      </c>
      <c r="L4" s="60">
        <f>IF(AND(H4&gt;=Year_Open_to_Traffic?, Calculations!H4&lt;Year_Open_to_Traffic?+'Inputs &amp; Outputs'!B$21), 1, 0)</f>
        <v>0</v>
      </c>
      <c r="M4" s="81" t="s">
        <v>75</v>
      </c>
      <c r="N4" s="82">
        <f>MIN(E8,1)</f>
        <v>0.24903393487642214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2.0514535738230366E-2</v>
      </c>
      <c r="F5" s="28"/>
      <c r="H5" s="15">
        <f t="shared" ref="H5:H36" si="3">H4+1</f>
        <v>2019</v>
      </c>
      <c r="I5" s="97">
        <f>(I4*M5)+I4</f>
        <v>2591.2394834197275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2.0514535738230366E-2</v>
      </c>
      <c r="N5" s="87">
        <f t="shared" ref="N5:N11" si="6">N4*(1+IFERROR(_2018_2025_V_C_Growth,_2018_2045_V_C_Growth))</f>
        <v>0.25414275043347662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2.4794122516786921E-2</v>
      </c>
      <c r="F6" s="28"/>
      <c r="H6" s="59">
        <f t="shared" si="3"/>
        <v>2020</v>
      </c>
      <c r="I6" s="97">
        <f t="shared" ref="I6:I36" si="10">(I5*M6)+I5</f>
        <v>2644.3975584086552</v>
      </c>
      <c r="J6" s="60">
        <f t="shared" si="4"/>
        <v>0</v>
      </c>
      <c r="K6" s="60">
        <f>IF(H6=Year_Open_to_Traffic?,Calculations!$E$4,K5+(K5*M6))</f>
        <v>0</v>
      </c>
      <c r="L6" s="60">
        <f>IF(AND(H6&gt;=Year_Open_to_Traffic?, Calculations!H6&lt;Year_Open_to_Traffic?+'Inputs &amp; Outputs'!B$21), 1, 0)</f>
        <v>0</v>
      </c>
      <c r="M6" s="81">
        <f t="shared" si="5"/>
        <v>2.0514535738230366E-2</v>
      </c>
      <c r="N6" s="87">
        <f t="shared" si="6"/>
        <v>0.25935637096985631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2.3682879768289755E-2</v>
      </c>
      <c r="F7" s="28"/>
      <c r="H7" s="15">
        <f t="shared" si="3"/>
        <v>2021</v>
      </c>
      <c r="I7" s="97">
        <f t="shared" si="10"/>
        <v>2698.6461466267187</v>
      </c>
      <c r="J7" s="60">
        <f t="shared" si="4"/>
        <v>0</v>
      </c>
      <c r="K7" s="60">
        <f>IF(H7=Year_Open_to_Traffic?,Calculations!$E$4,K6+(K6*M7))</f>
        <v>0</v>
      </c>
      <c r="L7" s="60">
        <f>IF(AND(H7&gt;=Year_Open_to_Traffic?, Calculations!H7&lt;Year_Open_to_Traffic?+'Inputs &amp; Outputs'!B$21), 1, 0)</f>
        <v>0</v>
      </c>
      <c r="M7" s="81">
        <f t="shared" si="5"/>
        <v>2.0514535738230366E-2</v>
      </c>
      <c r="N7" s="87">
        <f t="shared" si="6"/>
        <v>0.26467694651105517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0.24903393487642214</v>
      </c>
      <c r="F8" s="28"/>
      <c r="H8" s="59">
        <f t="shared" si="3"/>
        <v>2022</v>
      </c>
      <c r="I8" s="97">
        <f t="shared" si="10"/>
        <v>2754.00761944653</v>
      </c>
      <c r="J8" s="60">
        <f t="shared" si="4"/>
        <v>121771.69566905039</v>
      </c>
      <c r="K8" s="60">
        <f>IF(H8=Year_Open_to_Traffic?,Calculations!$E$4,K7+(K7*M8))</f>
        <v>121556.80444139913</v>
      </c>
      <c r="L8" s="60">
        <f>IF(AND(H8&gt;=Year_Open_to_Traffic?, Calculations!H8&lt;Year_Open_to_Traffic?+'Inputs &amp; Outputs'!B$21), 1, 0)</f>
        <v>1</v>
      </c>
      <c r="M8" s="81">
        <f t="shared" si="5"/>
        <v>2.0514535738230366E-2</v>
      </c>
      <c r="N8" s="87">
        <f t="shared" si="6"/>
        <v>0.2701066711893419</v>
      </c>
      <c r="O8" s="88">
        <f t="shared" si="7"/>
        <v>1</v>
      </c>
      <c r="P8" s="84">
        <f>(J8-K8)*L8</f>
        <v>214.89122765125649</v>
      </c>
      <c r="Q8" s="85">
        <f>IF(AND(H8&gt;=Year_Open_to_Traffic?,H8&lt;Year_Open_to_Traffic?+Years_to_include_in_BCA_Analysis),1,0)</f>
        <v>1</v>
      </c>
      <c r="R8" s="86">
        <f t="shared" si="1"/>
        <v>19.416758600864465</v>
      </c>
      <c r="S8" s="94">
        <f t="shared" si="2"/>
        <v>5.7997626189195222</v>
      </c>
      <c r="T8" s="80">
        <f t="shared" si="9"/>
        <v>4.4246111329859188</v>
      </c>
      <c r="W8" s="73"/>
      <c r="X8" s="73"/>
    </row>
    <row r="9" spans="1:24" x14ac:dyDescent="0.25">
      <c r="A9" s="18" t="s">
        <v>64</v>
      </c>
      <c r="B9" s="18">
        <f>'Inputs &amp; Outputs'!B21</f>
        <v>50</v>
      </c>
      <c r="D9" s="18" t="s">
        <v>65</v>
      </c>
      <c r="E9" s="23">
        <f>_2025_PeakVolume/_2025_Capacity</f>
        <v>0.28707336210278539</v>
      </c>
      <c r="F9" s="28"/>
      <c r="H9" s="15">
        <f t="shared" si="3"/>
        <v>2023</v>
      </c>
      <c r="I9" s="97">
        <f t="shared" si="10"/>
        <v>2810.5048071790247</v>
      </c>
      <c r="J9" s="60">
        <f t="shared" si="4"/>
        <v>124269.78547175803</v>
      </c>
      <c r="K9" s="60">
        <f>IF(H9=Year_Open_to_Traffic?,Calculations!$E$4,K8+(K8*M9))</f>
        <v>124050.4858503373</v>
      </c>
      <c r="L9" s="60">
        <f>IF(AND(H9&gt;=Year_Open_to_Traffic?, Calculations!H9&lt;Year_Open_to_Traffic?+'Inputs &amp; Outputs'!B$21), 1, 0)</f>
        <v>1</v>
      </c>
      <c r="M9" s="81">
        <f t="shared" si="5"/>
        <v>2.0514535738230366E-2</v>
      </c>
      <c r="N9" s="87">
        <f t="shared" si="6"/>
        <v>0.27564778414859009</v>
      </c>
      <c r="O9" s="88">
        <f t="shared" si="7"/>
        <v>1</v>
      </c>
      <c r="P9" s="84">
        <f t="shared" si="8"/>
        <v>219.29962142073782</v>
      </c>
      <c r="Q9" s="85">
        <f t="shared" si="0"/>
        <v>1</v>
      </c>
      <c r="R9" s="86">
        <f t="shared" si="1"/>
        <v>19.863344048684343</v>
      </c>
      <c r="S9" s="94">
        <f t="shared" si="2"/>
        <v>6.0548731237366153</v>
      </c>
      <c r="T9" s="80">
        <f t="shared" si="9"/>
        <v>4.3170408557513138</v>
      </c>
      <c r="W9" s="73"/>
    </row>
    <row r="10" spans="1:24" x14ac:dyDescent="0.25">
      <c r="D10" s="18" t="s">
        <v>82</v>
      </c>
      <c r="E10" s="23">
        <f>_2045_PeakVolume/_2045_Capacity</f>
        <v>0.46851706551588856</v>
      </c>
      <c r="F10" s="28"/>
      <c r="H10" s="59">
        <f t="shared" si="3"/>
        <v>2024</v>
      </c>
      <c r="I10" s="97">
        <f t="shared" si="10"/>
        <v>2868.1610084883669</v>
      </c>
      <c r="J10" s="60">
        <f t="shared" si="4"/>
        <v>126819.12242700064</v>
      </c>
      <c r="K10" s="60">
        <f>IF(H10=Year_Open_to_Traffic?,Calculations!$E$4,K9+(K9*M10))</f>
        <v>126595.32397565889</v>
      </c>
      <c r="L10" s="60">
        <f>IF(AND(H10&gt;=Year_Open_to_Traffic?, Calculations!H10&lt;Year_Open_to_Traffic?+'Inputs &amp; Outputs'!B$21), 1, 0)</f>
        <v>1</v>
      </c>
      <c r="M10" s="81">
        <f t="shared" si="5"/>
        <v>2.0514535738230366E-2</v>
      </c>
      <c r="N10" s="87">
        <f t="shared" si="6"/>
        <v>0.28130257046767038</v>
      </c>
      <c r="O10" s="88">
        <f t="shared" si="7"/>
        <v>1</v>
      </c>
      <c r="P10" s="84">
        <f>(J10-K10)*L10</f>
        <v>223.79845134174684</v>
      </c>
      <c r="Q10" s="85">
        <f t="shared" si="0"/>
        <v>1</v>
      </c>
      <c r="R10" s="86">
        <f t="shared" si="1"/>
        <v>20.320200961804083</v>
      </c>
      <c r="S10" s="94">
        <f t="shared" si="2"/>
        <v>6.321205013624712</v>
      </c>
      <c r="T10" s="80">
        <f t="shared" si="9"/>
        <v>4.2120858059787789</v>
      </c>
      <c r="W10" s="73"/>
    </row>
    <row r="11" spans="1:24" ht="30" customHeight="1" x14ac:dyDescent="0.25">
      <c r="A11" s="153" t="s">
        <v>219</v>
      </c>
      <c r="B11" s="154"/>
      <c r="D11" s="18" t="s">
        <v>70</v>
      </c>
      <c r="E11" s="46">
        <f>(E9/E8)^(1/(2025-2018))-1</f>
        <v>2.0514535738230366E-2</v>
      </c>
      <c r="F11" s="28"/>
      <c r="H11" s="15">
        <f t="shared" si="3"/>
        <v>2025</v>
      </c>
      <c r="I11" s="97">
        <f t="shared" si="10"/>
        <v>2927.0000000000005</v>
      </c>
      <c r="J11" s="60">
        <f t="shared" si="4"/>
        <v>129420.75784632035</v>
      </c>
      <c r="K11" s="60">
        <f>IF(H11=Year_Open_to_Traffic?,Calculations!$E$4,K10+(K10*M11))</f>
        <v>129192.3682736504</v>
      </c>
      <c r="L11" s="60">
        <f>IF(AND(H11&gt;=Year_Open_to_Traffic?, Calculations!H11&lt;Year_Open_to_Traffic?+'Inputs &amp; Outputs'!B$21), 1, 0)</f>
        <v>1</v>
      </c>
      <c r="M11" s="81">
        <f t="shared" si="5"/>
        <v>2.0514535738230366E-2</v>
      </c>
      <c r="N11" s="87">
        <f t="shared" si="6"/>
        <v>0.28707336210278545</v>
      </c>
      <c r="O11" s="88">
        <f t="shared" si="7"/>
        <v>1</v>
      </c>
      <c r="P11" s="84">
        <f t="shared" si="8"/>
        <v>228.38957266995567</v>
      </c>
      <c r="Q11" s="85">
        <f t="shared" si="0"/>
        <v>1</v>
      </c>
      <c r="R11" s="86">
        <f t="shared" si="1"/>
        <v>20.787565583925574</v>
      </c>
      <c r="S11" s="94">
        <f t="shared" si="2"/>
        <v>6.5992518765804009</v>
      </c>
      <c r="T11" s="80">
        <f t="shared" si="9"/>
        <v>4.1096824027718482</v>
      </c>
      <c r="W11" s="73"/>
    </row>
    <row r="12" spans="1:24" x14ac:dyDescent="0.25">
      <c r="A12" s="18" t="s">
        <v>205</v>
      </c>
      <c r="B12" s="19">
        <v>0.45</v>
      </c>
      <c r="D12" s="18" t="s">
        <v>83</v>
      </c>
      <c r="E12" s="46">
        <f>(E10/E9)^(1/(2045-2025))-1</f>
        <v>2.4794122516786921E-2</v>
      </c>
      <c r="F12" s="28"/>
      <c r="H12" s="59">
        <v>2026</v>
      </c>
      <c r="I12" s="97">
        <f t="shared" si="10"/>
        <v>2999.5723966066357</v>
      </c>
      <c r="J12" s="60">
        <f t="shared" si="4"/>
        <v>132629.63197257742</v>
      </c>
      <c r="K12" s="60">
        <f>IF(H12=Year_Open_to_Traffic?,Calculations!$E$4,K11+(K11*M12))</f>
        <v>132395.57968086115</v>
      </c>
      <c r="L12" s="60">
        <f>IF(AND(H12&gt;=Year_Open_to_Traffic?, Calculations!H12&lt;Year_Open_to_Traffic?+'Inputs &amp; Outputs'!B$21), 1, 0)</f>
        <v>1</v>
      </c>
      <c r="M12" s="81">
        <f t="shared" ref="M12:M36" si="11">IFERROR(_2025_2045_Demand_Growth,_2018_2045_Demand_Growth)</f>
        <v>2.4794122516786921E-2</v>
      </c>
      <c r="N12" s="87">
        <f t="shared" ref="N12:N36" si="12">N11*(1+IFERROR(_2025_2045_V_C_Growth,_2018_2045_V_C_Growth))</f>
        <v>0.29419109421406786</v>
      </c>
      <c r="O12" s="88">
        <f t="shared" si="7"/>
        <v>1</v>
      </c>
      <c r="P12" s="84">
        <f t="shared" si="8"/>
        <v>234.05229171627434</v>
      </c>
      <c r="Q12" s="85">
        <f t="shared" si="0"/>
        <v>1</v>
      </c>
      <c r="R12" s="86">
        <f t="shared" si="1"/>
        <v>21.265679592355859</v>
      </c>
      <c r="S12" s="94">
        <f t="shared" si="2"/>
        <v>6.9184206504579047</v>
      </c>
      <c r="T12" s="80">
        <f t="shared" si="9"/>
        <v>4.0265838077772758</v>
      </c>
      <c r="W12" s="73"/>
    </row>
    <row r="13" spans="1:24" x14ac:dyDescent="0.25">
      <c r="A13" s="18" t="s">
        <v>206</v>
      </c>
      <c r="B13" s="19">
        <v>0.43</v>
      </c>
      <c r="D13" s="18" t="s">
        <v>84</v>
      </c>
      <c r="E13" s="46">
        <f>(E10/E8)^(1/(2045-2018))-1</f>
        <v>2.3682879768289755E-2</v>
      </c>
      <c r="F13" s="28"/>
      <c r="H13" s="15">
        <f t="shared" si="3"/>
        <v>2027</v>
      </c>
      <c r="I13" s="97">
        <f t="shared" si="10"/>
        <v>3073.9441621060728</v>
      </c>
      <c r="J13" s="60">
        <f t="shared" si="4"/>
        <v>135918.06731706185</v>
      </c>
      <c r="K13" s="60">
        <f>IF(H13=Year_Open_to_Traffic?,Calculations!$E$4,K12+(K12*M13))</f>
        <v>135678.21190414944</v>
      </c>
      <c r="L13" s="60">
        <f>IF(AND(H13&gt;=Year_Open_to_Traffic?, Calculations!H13&lt;Year_Open_to_Traffic?+'Inputs &amp; Outputs'!B$21), 1, 0)</f>
        <v>1</v>
      </c>
      <c r="M13" s="81">
        <f t="shared" si="11"/>
        <v>2.4794122516786921E-2</v>
      </c>
      <c r="N13" s="87">
        <f t="shared" si="12"/>
        <v>0.30148530424735909</v>
      </c>
      <c r="O13" s="88">
        <f t="shared" si="7"/>
        <v>1</v>
      </c>
      <c r="P13" s="84">
        <f t="shared" si="8"/>
        <v>239.85541291240952</v>
      </c>
      <c r="Q13" s="85">
        <f t="shared" si="0"/>
        <v>1</v>
      </c>
      <c r="R13" s="86">
        <f t="shared" si="1"/>
        <v>21.754790222980041</v>
      </c>
      <c r="S13" s="94">
        <f t="shared" si="2"/>
        <v>7.253025826540461</v>
      </c>
      <c r="T13" s="80">
        <f t="shared" si="9"/>
        <v>3.9451654828896365</v>
      </c>
      <c r="W13" s="73"/>
    </row>
    <row r="14" spans="1:24" x14ac:dyDescent="0.25">
      <c r="H14" s="59">
        <f>H13+1</f>
        <v>2028</v>
      </c>
      <c r="I14" s="97">
        <f t="shared" si="10"/>
        <v>3150.1599102710925</v>
      </c>
      <c r="J14" s="60">
        <f t="shared" si="4"/>
        <v>139288.03653036596</v>
      </c>
      <c r="K14" s="60">
        <f>IF(H14=Year_Open_to_Traffic?,Calculations!$E$4,K13+(K13*M14))</f>
        <v>139042.2341129595</v>
      </c>
      <c r="L14" s="60">
        <f>IF(AND(H14&gt;=Year_Open_to_Traffic?, Calculations!H14&lt;Year_Open_to_Traffic?+'Inputs &amp; Outputs'!B$21), 1, 0)</f>
        <v>1</v>
      </c>
      <c r="M14" s="81">
        <f t="shared" si="11"/>
        <v>2.4794122516786921E-2</v>
      </c>
      <c r="N14" s="87">
        <f t="shared" si="12"/>
        <v>0.30896036781787889</v>
      </c>
      <c r="O14" s="88">
        <f t="shared" si="7"/>
        <v>1</v>
      </c>
      <c r="P14" s="84">
        <f t="shared" si="8"/>
        <v>245.80241740646306</v>
      </c>
      <c r="Q14" s="85">
        <f t="shared" si="0"/>
        <v>1</v>
      </c>
      <c r="R14" s="86">
        <f t="shared" si="1"/>
        <v>22.255150398108579</v>
      </c>
      <c r="S14" s="94">
        <f t="shared" si="2"/>
        <v>7.6038139769633011</v>
      </c>
      <c r="T14" s="80">
        <f t="shared" si="9"/>
        <v>3.8653934527133673</v>
      </c>
      <c r="W14" s="73"/>
    </row>
    <row r="15" spans="1:24" x14ac:dyDescent="0.25">
      <c r="H15" s="15">
        <f t="shared" si="3"/>
        <v>2029</v>
      </c>
      <c r="I15" s="97">
        <f t="shared" si="10"/>
        <v>3228.2653610338243</v>
      </c>
      <c r="J15" s="60">
        <f t="shared" si="4"/>
        <v>142741.56117322255</v>
      </c>
      <c r="K15" s="60">
        <f>IF(H15=Year_Open_to_Traffic?,Calculations!$E$4,K14+(K14*M15))</f>
        <v>142489.66430056398</v>
      </c>
      <c r="L15" s="60">
        <f>IF(AND(H15&gt;=Year_Open_to_Traffic?, Calculations!H15&lt;Year_Open_to_Traffic?+'Inputs &amp; Outputs'!B$21), 1, 0)</f>
        <v>1</v>
      </c>
      <c r="M15" s="81">
        <f t="shared" si="11"/>
        <v>2.4794122516786921E-2</v>
      </c>
      <c r="N15" s="87">
        <f t="shared" si="12"/>
        <v>0.31662076903038694</v>
      </c>
      <c r="O15" s="88">
        <f t="shared" si="7"/>
        <v>1</v>
      </c>
      <c r="P15" s="84">
        <f t="shared" si="8"/>
        <v>251.89687265857356</v>
      </c>
      <c r="Q15" s="85">
        <f t="shared" si="0"/>
        <v>1</v>
      </c>
      <c r="R15" s="86">
        <f t="shared" si="1"/>
        <v>22.767018857265079</v>
      </c>
      <c r="S15" s="94">
        <f t="shared" si="2"/>
        <v>7.9715677813663426</v>
      </c>
      <c r="T15" s="80">
        <f t="shared" si="9"/>
        <v>3.7872344288425257</v>
      </c>
      <c r="W15" s="73"/>
    </row>
    <row r="16" spans="1:24" x14ac:dyDescent="0.25">
      <c r="H16" s="59">
        <f t="shared" si="3"/>
        <v>2030</v>
      </c>
      <c r="I16" s="97">
        <f t="shared" si="10"/>
        <v>3308.3073679119962</v>
      </c>
      <c r="J16" s="60">
        <f t="shared" si="4"/>
        <v>146280.71292918886</v>
      </c>
      <c r="K16" s="60">
        <f>IF(H16=Year_Open_to_Traffic?,Calculations!$E$4,K15+(K15*M16))</f>
        <v>146022.57049460799</v>
      </c>
      <c r="L16" s="60">
        <f>IF(AND(H16&gt;=Year_Open_to_Traffic?, Calculations!H16&lt;Year_Open_to_Traffic?+'Inputs &amp; Outputs'!B$21), 1, 0)</f>
        <v>1</v>
      </c>
      <c r="M16" s="81">
        <f t="shared" si="11"/>
        <v>2.4794122516786921E-2</v>
      </c>
      <c r="N16" s="87">
        <f t="shared" si="12"/>
        <v>0.32447110316908567</v>
      </c>
      <c r="O16" s="88">
        <f t="shared" si="7"/>
        <v>1</v>
      </c>
      <c r="P16" s="84">
        <f t="shared" si="8"/>
        <v>258.14243458086275</v>
      </c>
      <c r="Q16" s="85">
        <f t="shared" si="0"/>
        <v>1</v>
      </c>
      <c r="R16" s="86">
        <f t="shared" si="1"/>
        <v>23.290660290982171</v>
      </c>
      <c r="S16" s="94">
        <f t="shared" si="2"/>
        <v>8.357107773208849</v>
      </c>
      <c r="T16" s="80">
        <f t="shared" si="9"/>
        <v>3.7106557959684396</v>
      </c>
      <c r="W16" s="73"/>
    </row>
    <row r="17" spans="1:23" x14ac:dyDescent="0.25">
      <c r="A17" s="29"/>
      <c r="H17" s="15">
        <f t="shared" si="3"/>
        <v>2031</v>
      </c>
      <c r="I17" s="97">
        <f t="shared" si="10"/>
        <v>3390.333946115195</v>
      </c>
      <c r="J17" s="60">
        <f t="shared" si="4"/>
        <v>149907.6148473981</v>
      </c>
      <c r="K17" s="60">
        <f>IF(H17=Year_Open_to_Traffic?,Calculations!$E$4,K16+(K16*M17))</f>
        <v>149643.07199766746</v>
      </c>
      <c r="L17" s="60">
        <f>IF(AND(H17&gt;=Year_Open_to_Traffic?, Calculations!H17&lt;Year_Open_to_Traffic?+'Inputs &amp; Outputs'!B$21), 1, 0)</f>
        <v>1</v>
      </c>
      <c r="M17" s="81">
        <f t="shared" si="11"/>
        <v>2.4794122516786921E-2</v>
      </c>
      <c r="N17" s="87">
        <f t="shared" si="12"/>
        <v>0.33251607945421702</v>
      </c>
      <c r="O17" s="88">
        <f t="shared" si="7"/>
        <v>1</v>
      </c>
      <c r="P17" s="84">
        <f t="shared" si="8"/>
        <v>264.54284973064205</v>
      </c>
      <c r="Q17" s="85">
        <f t="shared" si="0"/>
        <v>1</v>
      </c>
      <c r="R17" s="86">
        <f t="shared" si="1"/>
        <v>23.82634547767476</v>
      </c>
      <c r="S17" s="94">
        <f t="shared" si="2"/>
        <v>8.7612941705499185</v>
      </c>
      <c r="T17" s="80">
        <f t="shared" si="9"/>
        <v>3.6356255982713099</v>
      </c>
      <c r="W17" s="73"/>
    </row>
    <row r="18" spans="1:23" x14ac:dyDescent="0.25">
      <c r="H18" s="59">
        <f t="shared" si="3"/>
        <v>2032</v>
      </c>
      <c r="I18" s="97">
        <f t="shared" si="10"/>
        <v>3474.3943013479966</v>
      </c>
      <c r="J18" s="60">
        <f t="shared" si="4"/>
        <v>153624.44261612379</v>
      </c>
      <c r="K18" s="60">
        <f>IF(H18=Year_Open_to_Traffic?,Calculations!$E$4,K17+(K17*M18))</f>
        <v>153353.34065856598</v>
      </c>
      <c r="L18" s="60">
        <f>IF(AND(H18&gt;=Year_Open_to_Traffic?, Calculations!H18&lt;Year_Open_to_Traffic?+'Inputs &amp; Outputs'!B$21), 1, 0)</f>
        <v>1</v>
      </c>
      <c r="M18" s="81">
        <f t="shared" si="11"/>
        <v>2.4794122516786921E-2</v>
      </c>
      <c r="N18" s="87">
        <f t="shared" si="12"/>
        <v>0.3407605238670065</v>
      </c>
      <c r="O18" s="88">
        <f t="shared" si="7"/>
        <v>1</v>
      </c>
      <c r="P18" s="84">
        <f t="shared" si="8"/>
        <v>271.10195755781024</v>
      </c>
      <c r="Q18" s="85">
        <f t="shared" si="0"/>
        <v>1</v>
      </c>
      <c r="R18" s="86">
        <f t="shared" si="1"/>
        <v>24.374351423661277</v>
      </c>
      <c r="S18" s="94">
        <f t="shared" si="2"/>
        <v>9.1850287953676339</v>
      </c>
      <c r="T18" s="80">
        <f t="shared" si="9"/>
        <v>3.5621125260841588</v>
      </c>
      <c r="W18" s="73"/>
    </row>
    <row r="19" spans="1:23" x14ac:dyDescent="0.25">
      <c r="H19" s="15">
        <f t="shared" si="3"/>
        <v>2033</v>
      </c>
      <c r="I19" s="97">
        <f t="shared" si="10"/>
        <v>3560.5388593272451</v>
      </c>
      <c r="J19" s="60">
        <f t="shared" si="4"/>
        <v>157433.42586792106</v>
      </c>
      <c r="K19" s="60">
        <f>IF(H19=Year_Open_to_Traffic?,Calculations!$E$4,K18+(K18*M19))</f>
        <v>157155.60217521302</v>
      </c>
      <c r="L19" s="60">
        <f>IF(AND(H19&gt;=Year_Open_to_Traffic?, Calculations!H19&lt;Year_Open_to_Traffic?+'Inputs &amp; Outputs'!B$21), 1, 0)</f>
        <v>1</v>
      </c>
      <c r="M19" s="81">
        <f t="shared" si="11"/>
        <v>2.4794122516786921E-2</v>
      </c>
      <c r="N19" s="87">
        <f t="shared" si="12"/>
        <v>0.34920938204464957</v>
      </c>
      <c r="O19" s="88">
        <f t="shared" si="7"/>
        <v>1</v>
      </c>
      <c r="P19" s="84">
        <f t="shared" si="8"/>
        <v>277.82369270804338</v>
      </c>
      <c r="Q19" s="85">
        <f t="shared" si="0"/>
        <v>1</v>
      </c>
      <c r="R19" s="86">
        <f t="shared" si="1"/>
        <v>24.934961506405479</v>
      </c>
      <c r="S19" s="94">
        <f t="shared" si="2"/>
        <v>9.6292570857070547</v>
      </c>
      <c r="T19" s="80">
        <f t="shared" si="9"/>
        <v>3.4900859028275102</v>
      </c>
      <c r="W19" s="73"/>
    </row>
    <row r="20" spans="1:23" x14ac:dyDescent="0.25">
      <c r="H20" s="59">
        <f t="shared" si="3"/>
        <v>2034</v>
      </c>
      <c r="I20" s="97">
        <f t="shared" si="10"/>
        <v>3648.8192960311853</v>
      </c>
      <c r="J20" s="60">
        <f t="shared" si="4"/>
        <v>161336.84951712779</v>
      </c>
      <c r="K20" s="60">
        <f>IF(H20=Year_Open_to_Traffic?,Calculations!$E$4,K19+(K19*M20))</f>
        <v>161052.13742974467</v>
      </c>
      <c r="L20" s="60">
        <f>IF(AND(H20&gt;=Year_Open_to_Traffic?, Calculations!H20&lt;Year_Open_to_Traffic?+'Inputs &amp; Outputs'!B$21), 1, 0)</f>
        <v>1</v>
      </c>
      <c r="M20" s="81">
        <f t="shared" si="11"/>
        <v>2.4794122516786921E-2</v>
      </c>
      <c r="N20" s="87">
        <f t="shared" si="12"/>
        <v>0.35786772224707608</v>
      </c>
      <c r="O20" s="88">
        <f t="shared" si="7"/>
        <v>1</v>
      </c>
      <c r="P20" s="84">
        <f t="shared" si="8"/>
        <v>284.71208738311543</v>
      </c>
      <c r="Q20" s="85">
        <f t="shared" si="0"/>
        <v>1</v>
      </c>
      <c r="R20" s="86">
        <f t="shared" si="1"/>
        <v>25.508465621052807</v>
      </c>
      <c r="S20" s="94">
        <f t="shared" si="2"/>
        <v>10.094970205145431</v>
      </c>
      <c r="T20" s="80">
        <f t="shared" si="9"/>
        <v>3.4195156722085769</v>
      </c>
      <c r="W20" s="73"/>
    </row>
    <row r="21" spans="1:23" x14ac:dyDescent="0.25">
      <c r="H21" s="15">
        <f t="shared" si="3"/>
        <v>2035</v>
      </c>
      <c r="I21" s="97">
        <f t="shared" si="10"/>
        <v>3739.2885686985987</v>
      </c>
      <c r="J21" s="60">
        <f t="shared" si="4"/>
        <v>165337.05513052788</v>
      </c>
      <c r="K21" s="60">
        <f>IF(H21=Year_Open_to_Traffic?,Calculations!$E$4,K20+(K20*M21))</f>
        <v>165045.28385676816</v>
      </c>
      <c r="L21" s="60">
        <f>IF(AND(H21&gt;=Year_Open_to_Traffic?, Calculations!H21&lt;Year_Open_to_Traffic?+'Inputs &amp; Outputs'!B$21), 1, 0)</f>
        <v>1</v>
      </c>
      <c r="M21" s="81">
        <f t="shared" si="11"/>
        <v>2.4794122516786921E-2</v>
      </c>
      <c r="N21" s="87">
        <f t="shared" si="12"/>
        <v>0.36674073839727356</v>
      </c>
      <c r="O21" s="88">
        <f t="shared" si="7"/>
        <v>1</v>
      </c>
      <c r="P21" s="84">
        <f t="shared" si="8"/>
        <v>291.77127375971759</v>
      </c>
      <c r="Q21" s="85">
        <f t="shared" si="0"/>
        <v>1</v>
      </c>
      <c r="R21" s="86">
        <f t="shared" si="1"/>
        <v>26.095160330337016</v>
      </c>
      <c r="S21" s="94">
        <f t="shared" si="2"/>
        <v>10.583207254279612</v>
      </c>
      <c r="T21" s="80">
        <f t="shared" si="9"/>
        <v>3.3503723856789169</v>
      </c>
      <c r="W21" s="73"/>
    </row>
    <row r="22" spans="1:23" x14ac:dyDescent="0.25">
      <c r="H22" s="59">
        <f>H21+1</f>
        <v>2036</v>
      </c>
      <c r="I22" s="97">
        <f t="shared" si="10"/>
        <v>3832.0009475965326</v>
      </c>
      <c r="J22" s="60">
        <f t="shared" si="4"/>
        <v>169436.44233199893</v>
      </c>
      <c r="K22" s="60">
        <f>IF(H22=Year_Open_to_Traffic?,Calculations!$E$4,K21+(K21*M22))</f>
        <v>169137.43684553076</v>
      </c>
      <c r="L22" s="60">
        <f>IF(AND(H22&gt;=Year_Open_to_Traffic?, Calculations!H22&lt;Year_Open_to_Traffic?+'Inputs &amp; Outputs'!B$21), 1, 0)</f>
        <v>1</v>
      </c>
      <c r="M22" s="81">
        <f t="shared" si="11"/>
        <v>2.4794122516786921E-2</v>
      </c>
      <c r="N22" s="87">
        <f t="shared" si="12"/>
        <v>0.37583375319699247</v>
      </c>
      <c r="O22" s="88">
        <f t="shared" si="7"/>
        <v>1</v>
      </c>
      <c r="P22" s="84">
        <f t="shared" si="8"/>
        <v>299.00548646817333</v>
      </c>
      <c r="Q22" s="85">
        <f t="shared" si="0"/>
        <v>1</v>
      </c>
      <c r="R22" s="86">
        <f t="shared" si="1"/>
        <v>26.695349017934767</v>
      </c>
      <c r="S22" s="94">
        <f t="shared" si="2"/>
        <v>11.095057589167908</v>
      </c>
      <c r="T22" s="80">
        <f t="shared" si="9"/>
        <v>3.2826271901448876</v>
      </c>
      <c r="W22" s="73"/>
    </row>
    <row r="23" spans="1:23" x14ac:dyDescent="0.25">
      <c r="H23" s="15">
        <f t="shared" si="3"/>
        <v>2037</v>
      </c>
      <c r="I23" s="97">
        <f t="shared" si="10"/>
        <v>3927.0120485756847</v>
      </c>
      <c r="J23" s="60">
        <f t="shared" si="4"/>
        <v>173637.470241987</v>
      </c>
      <c r="K23" s="60">
        <f>IF(H23=Year_Open_to_Traffic?,Calculations!$E$4,K22+(K22*M23))</f>
        <v>173331.05117685415</v>
      </c>
      <c r="L23" s="60">
        <f>IF(AND(H23&gt;=Year_Open_to_Traffic?, Calculations!H23&lt;Year_Open_to_Traffic?+'Inputs &amp; Outputs'!B$21), 1, 0)</f>
        <v>1</v>
      </c>
      <c r="M23" s="81">
        <f t="shared" si="11"/>
        <v>2.4794122516786921E-2</v>
      </c>
      <c r="N23" s="87">
        <f t="shared" si="12"/>
        <v>0.38515222131970256</v>
      </c>
      <c r="O23" s="88">
        <f t="shared" si="7"/>
        <v>1</v>
      </c>
      <c r="P23" s="84">
        <f t="shared" si="8"/>
        <v>306.41906513285358</v>
      </c>
      <c r="Q23" s="85">
        <f t="shared" si="0"/>
        <v>1</v>
      </c>
      <c r="R23" s="86">
        <f t="shared" si="1"/>
        <v>27.309342045347261</v>
      </c>
      <c r="S23" s="94">
        <f t="shared" si="2"/>
        <v>11.631663251910808</v>
      </c>
      <c r="T23" s="80">
        <f t="shared" si="9"/>
        <v>3.2162518159292981</v>
      </c>
      <c r="W23" s="73"/>
    </row>
    <row r="24" spans="1:23" x14ac:dyDescent="0.25">
      <c r="H24" s="59">
        <f t="shared" si="3"/>
        <v>2038</v>
      </c>
      <c r="I24" s="97">
        <f t="shared" si="10"/>
        <v>4024.3788664329686</v>
      </c>
      <c r="J24" s="60">
        <f t="shared" si="4"/>
        <v>177942.65895267177</v>
      </c>
      <c r="K24" s="60">
        <f>IF(H24=Year_Open_to_Traffic?,Calculations!$E$4,K23+(K23*M24))</f>
        <v>177628.64249569652</v>
      </c>
      <c r="L24" s="60">
        <f>IF(AND(H24&gt;=Year_Open_to_Traffic?, Calculations!H24&lt;Year_Open_to_Traffic?+'Inputs &amp; Outputs'!B$21), 1, 0)</f>
        <v>1</v>
      </c>
      <c r="M24" s="81">
        <f t="shared" si="11"/>
        <v>2.4794122516786921E-2</v>
      </c>
      <c r="N24" s="87">
        <f t="shared" si="12"/>
        <v>0.39470173268271591</v>
      </c>
      <c r="O24" s="88">
        <f t="shared" si="7"/>
        <v>1</v>
      </c>
      <c r="P24" s="84">
        <f>(J24-K24)*L24</f>
        <v>314.01645697525237</v>
      </c>
      <c r="Q24" s="85">
        <f t="shared" si="0"/>
        <v>1</v>
      </c>
      <c r="R24" s="86">
        <f t="shared" si="1"/>
        <v>27.93745691239025</v>
      </c>
      <c r="S24" s="94">
        <f t="shared" si="2"/>
        <v>12.194221518773308</v>
      </c>
      <c r="T24" s="80">
        <f t="shared" si="9"/>
        <v>3.1512185649728175</v>
      </c>
      <c r="W24" s="73"/>
    </row>
    <row r="25" spans="1:23" x14ac:dyDescent="0.25">
      <c r="H25" s="15">
        <f t="shared" si="3"/>
        <v>2039</v>
      </c>
      <c r="I25" s="97">
        <f t="shared" si="10"/>
        <v>4124.1598091012756</v>
      </c>
      <c r="J25" s="60">
        <f t="shared" si="4"/>
        <v>182354.59103970716</v>
      </c>
      <c r="K25" s="60">
        <f>IF(H25=Year_Open_to_Traffic?,Calculations!$E$4,K24+(K24*M25))</f>
        <v>182032.78882022537</v>
      </c>
      <c r="L25" s="60">
        <f>IF(AND(H25&gt;=Year_Open_to_Traffic?, Calculations!H25&lt;Year_Open_to_Traffic?+'Inputs &amp; Outputs'!B$21), 1, 0)</f>
        <v>1</v>
      </c>
      <c r="M25" s="81">
        <f t="shared" si="11"/>
        <v>2.4794122516786921E-2</v>
      </c>
      <c r="N25" s="87">
        <f t="shared" si="12"/>
        <v>0.40448801580043925</v>
      </c>
      <c r="O25" s="88">
        <f t="shared" si="7"/>
        <v>1</v>
      </c>
      <c r="P25" s="84">
        <f t="shared" si="8"/>
        <v>321.80221948178951</v>
      </c>
      <c r="Q25" s="85">
        <f t="shared" si="0"/>
        <v>1</v>
      </c>
      <c r="R25" s="86">
        <f t="shared" si="1"/>
        <v>28.580018421375218</v>
      </c>
      <c r="S25" s="94">
        <f t="shared" si="2"/>
        <v>12.783987571552274</v>
      </c>
      <c r="T25" s="80">
        <f t="shared" si="9"/>
        <v>3.087500299276102</v>
      </c>
      <c r="W25" s="73"/>
    </row>
    <row r="26" spans="1:23" x14ac:dyDescent="0.25">
      <c r="H26" s="59">
        <f t="shared" si="3"/>
        <v>2040</v>
      </c>
      <c r="I26" s="97">
        <f t="shared" si="10"/>
        <v>4226.4147326869415</v>
      </c>
      <c r="J26" s="60">
        <f t="shared" si="4"/>
        <v>186875.91311144424</v>
      </c>
      <c r="K26" s="60">
        <f>IF(H26=Year_Open_to_Traffic?,Calculations!$E$4,K25+(K25*M26))</f>
        <v>186546.13208830645</v>
      </c>
      <c r="L26" s="60">
        <f>IF(AND(H26&gt;=Year_Open_to_Traffic?, Calculations!H26&lt;Year_Open_to_Traffic?+'Inputs &amp; Outputs'!B$21), 1, 0)</f>
        <v>1</v>
      </c>
      <c r="M26" s="81">
        <f t="shared" si="11"/>
        <v>2.4794122516786921E-2</v>
      </c>
      <c r="N26" s="87">
        <f t="shared" si="12"/>
        <v>0.41451694122076738</v>
      </c>
      <c r="O26" s="88">
        <f t="shared" si="7"/>
        <v>1</v>
      </c>
      <c r="P26" s="84">
        <f t="shared" si="8"/>
        <v>329.78102313779527</v>
      </c>
      <c r="Q26" s="85">
        <f t="shared" si="0"/>
        <v>1</v>
      </c>
      <c r="R26" s="86">
        <f t="shared" si="1"/>
        <v>29.237358845066851</v>
      </c>
      <c r="S26" s="94">
        <f t="shared" si="2"/>
        <v>13.402277298144488</v>
      </c>
      <c r="T26" s="80">
        <f t="shared" si="9"/>
        <v>3.025070429575901</v>
      </c>
      <c r="W26" s="73"/>
    </row>
    <row r="27" spans="1:23" x14ac:dyDescent="0.25">
      <c r="H27" s="15">
        <f t="shared" si="3"/>
        <v>2041</v>
      </c>
      <c r="I27" s="97">
        <f t="shared" si="10"/>
        <v>4331.2049773759345</v>
      </c>
      <c r="J27" s="60">
        <f t="shared" si="4"/>
        <v>191509.33739656582</v>
      </c>
      <c r="K27" s="60">
        <f>IF(H27=Year_Open_to_Traffic?,Calculations!$E$4,K26+(K26*M27))</f>
        <v>191171.37974233663</v>
      </c>
      <c r="L27" s="60">
        <f>IF(AND(H27&gt;=Year_Open_to_Traffic?, Calculations!H27&lt;Year_Open_to_Traffic?+'Inputs &amp; Outputs'!B$21), 1, 0)</f>
        <v>1</v>
      </c>
      <c r="M27" s="81">
        <f t="shared" si="11"/>
        <v>2.4794122516786921E-2</v>
      </c>
      <c r="N27" s="87">
        <f t="shared" si="12"/>
        <v>0.42479452504667886</v>
      </c>
      <c r="O27" s="88">
        <f t="shared" si="7"/>
        <v>1</v>
      </c>
      <c r="P27" s="84">
        <f t="shared" si="8"/>
        <v>337.95765422919067</v>
      </c>
      <c r="Q27" s="85">
        <f t="shared" si="0"/>
        <v>1</v>
      </c>
      <c r="R27" s="86">
        <f t="shared" si="1"/>
        <v>29.909818098503379</v>
      </c>
      <c r="S27" s="94">
        <f t="shared" si="2"/>
        <v>14.050470228558872</v>
      </c>
      <c r="T27" s="80">
        <f t="shared" si="9"/>
        <v>2.963902904249184</v>
      </c>
      <c r="W27" s="73"/>
    </row>
    <row r="28" spans="1:23" x14ac:dyDescent="0.25">
      <c r="H28" s="59">
        <f t="shared" si="3"/>
        <v>2042</v>
      </c>
      <c r="I28" s="97">
        <f t="shared" si="10"/>
        <v>4438.5934042303106</v>
      </c>
      <c r="J28" s="60">
        <f t="shared" si="4"/>
        <v>196257.64337108497</v>
      </c>
      <c r="K28" s="60">
        <f>IF(H28=Year_Open_to_Traffic?,Calculations!$E$4,K27+(K27*M28))</f>
        <v>195911.30635337133</v>
      </c>
      <c r="L28" s="60">
        <f>IF(AND(H28&gt;=Year_Open_to_Traffic?, Calculations!H28&lt;Year_Open_to_Traffic?+'Inputs &amp; Outputs'!B$21), 1, 0)</f>
        <v>1</v>
      </c>
      <c r="M28" s="81">
        <f t="shared" si="11"/>
        <v>2.4794122516786921E-2</v>
      </c>
      <c r="N28" s="87">
        <f t="shared" si="12"/>
        <v>0.43532693254514654</v>
      </c>
      <c r="O28" s="88">
        <f t="shared" si="7"/>
        <v>1</v>
      </c>
      <c r="P28" s="84">
        <f t="shared" si="8"/>
        <v>346.33701771363849</v>
      </c>
      <c r="Q28" s="85">
        <f t="shared" si="0"/>
        <v>1</v>
      </c>
      <c r="R28" s="86">
        <f t="shared" si="1"/>
        <v>30.597743914768959</v>
      </c>
      <c r="S28" s="94">
        <f t="shared" si="2"/>
        <v>14.730012612927329</v>
      </c>
      <c r="T28" s="80">
        <f t="shared" si="9"/>
        <v>2.9039721984417608</v>
      </c>
      <c r="W28" s="73"/>
    </row>
    <row r="29" spans="1:23" x14ac:dyDescent="0.25">
      <c r="H29" s="15">
        <f t="shared" si="3"/>
        <v>2043</v>
      </c>
      <c r="I29" s="97">
        <f t="shared" si="10"/>
        <v>4548.6444328969992</v>
      </c>
      <c r="J29" s="60">
        <f t="shared" si="4"/>
        <v>201123.67942568351</v>
      </c>
      <c r="K29" s="60">
        <f>IF(H29=Year_Open_to_Traffic?,Calculations!$E$4,K28+(K28*M29))</f>
        <v>200768.7552855206</v>
      </c>
      <c r="L29" s="60">
        <f>IF(AND(H29&gt;=Year_Open_to_Traffic?, Calculations!H29&lt;Year_Open_to_Traffic?+'Inputs &amp; Outputs'!B$21), 1, 0)</f>
        <v>1</v>
      </c>
      <c r="M29" s="81">
        <f t="shared" si="11"/>
        <v>2.4794122516786921E-2</v>
      </c>
      <c r="N29" s="87">
        <f t="shared" si="12"/>
        <v>0.44612048184552794</v>
      </c>
      <c r="O29" s="88">
        <f t="shared" si="7"/>
        <v>1</v>
      </c>
      <c r="P29" s="84">
        <f t="shared" si="8"/>
        <v>354.9241401629115</v>
      </c>
      <c r="Q29" s="85">
        <f t="shared" si="0"/>
        <v>1</v>
      </c>
      <c r="R29" s="86">
        <f t="shared" si="1"/>
        <v>31.301492024808638</v>
      </c>
      <c r="S29" s="94">
        <f t="shared" si="2"/>
        <v>15.442420648382798</v>
      </c>
      <c r="T29" s="80">
        <f t="shared" si="9"/>
        <v>2.84525330341698</v>
      </c>
      <c r="W29" s="73"/>
    </row>
    <row r="30" spans="1:23" x14ac:dyDescent="0.25">
      <c r="H30" s="15">
        <f t="shared" si="3"/>
        <v>2044</v>
      </c>
      <c r="I30" s="97">
        <f t="shared" si="10"/>
        <v>4661.4240802515478</v>
      </c>
      <c r="J30" s="60">
        <f t="shared" si="4"/>
        <v>206110.3645743909</v>
      </c>
      <c r="K30" s="60">
        <f>IF(H30=Year_Open_to_Traffic?,Calculations!$E$4,K29+(K29*M30))</f>
        <v>205746.64040161262</v>
      </c>
      <c r="L30" s="60">
        <f>IF(AND(H30&gt;=Year_Open_to_Traffic?, Calculations!H30&lt;Year_Open_to_Traffic?+'Inputs &amp; Outputs'!B$21), 1, 0)</f>
        <v>1</v>
      </c>
      <c r="M30" s="81">
        <f t="shared" si="11"/>
        <v>2.4794122516786921E-2</v>
      </c>
      <c r="N30" s="87">
        <f t="shared" si="12"/>
        <v>0.45718164772965397</v>
      </c>
      <c r="O30" s="88">
        <f t="shared" si="7"/>
        <v>1</v>
      </c>
      <c r="P30" s="84">
        <f t="shared" si="8"/>
        <v>363.72417277828208</v>
      </c>
      <c r="Q30" s="85">
        <f t="shared" si="0"/>
        <v>1</v>
      </c>
      <c r="R30" s="86">
        <f t="shared" si="1"/>
        <v>32.021426341379232</v>
      </c>
      <c r="S30" s="94">
        <f t="shared" si="2"/>
        <v>16.189283862006402</v>
      </c>
      <c r="T30" s="80">
        <f t="shared" si="9"/>
        <v>2.7877217161203234</v>
      </c>
      <c r="W30" s="73"/>
    </row>
    <row r="31" spans="1:23" x14ac:dyDescent="0.25">
      <c r="H31" s="15">
        <f t="shared" si="3"/>
        <v>2045</v>
      </c>
      <c r="I31" s="97">
        <f t="shared" si="10"/>
        <v>4777.0000000000055</v>
      </c>
      <c r="J31" s="60">
        <f t="shared" si="4"/>
        <v>211220.69020562797</v>
      </c>
      <c r="K31" s="60">
        <f>IF(H31=Year_Open_to_Traffic?,Calculations!$E$4,K30+(K30*M31))</f>
        <v>210847.94781114749</v>
      </c>
      <c r="L31" s="60">
        <f>IF(AND(H31&gt;=Year_Open_to_Traffic?, Calculations!H31&lt;Year_Open_to_Traffic?+'Inputs &amp; Outputs'!B$21), 1, 0)</f>
        <v>1</v>
      </c>
      <c r="M31" s="81">
        <f t="shared" si="11"/>
        <v>2.4794122516786921E-2</v>
      </c>
      <c r="N31" s="87">
        <f t="shared" si="12"/>
        <v>0.46851706551588951</v>
      </c>
      <c r="O31" s="88">
        <f t="shared" si="7"/>
        <v>1</v>
      </c>
      <c r="P31" s="84">
        <f t="shared" si="8"/>
        <v>372.74239448047592</v>
      </c>
      <c r="Q31" s="85">
        <f t="shared" si="0"/>
        <v>1</v>
      </c>
      <c r="R31" s="86">
        <f t="shared" si="1"/>
        <v>32.757919147230957</v>
      </c>
      <c r="S31" s="94">
        <f t="shared" si="2"/>
        <v>16.97226865738001</v>
      </c>
      <c r="T31" s="80">
        <f t="shared" si="9"/>
        <v>2.7313534289534038</v>
      </c>
      <c r="W31" s="73"/>
    </row>
    <row r="32" spans="1:23" x14ac:dyDescent="0.25">
      <c r="H32" s="15">
        <f t="shared" si="3"/>
        <v>2046</v>
      </c>
      <c r="I32" s="97">
        <f t="shared" si="10"/>
        <v>4895.441523262697</v>
      </c>
      <c r="J32" s="60">
        <f t="shared" si="4"/>
        <v>216457.72187666659</v>
      </c>
      <c r="K32" s="60">
        <f>IF(H32=Year_Open_to_Traffic?,Calculations!$E$4,K31+(K31*M32))</f>
        <v>216075.73766159019</v>
      </c>
      <c r="L32" s="60">
        <f>IF(AND(H32&gt;=Year_Open_to_Traffic?, Calculations!H32&lt;Year_Open_to_Traffic?+'Inputs &amp; Outputs'!B$21), 1, 0)</f>
        <v>1</v>
      </c>
      <c r="M32" s="81">
        <f t="shared" si="11"/>
        <v>2.4794122516786921E-2</v>
      </c>
      <c r="N32" s="87">
        <f t="shared" si="12"/>
        <v>0.48013353503949596</v>
      </c>
      <c r="O32" s="88">
        <f t="shared" si="7"/>
        <v>1</v>
      </c>
      <c r="P32" s="84">
        <f t="shared" si="8"/>
        <v>381.9842150764016</v>
      </c>
      <c r="Q32" s="85">
        <f t="shared" si="0"/>
        <v>1</v>
      </c>
      <c r="R32" s="86">
        <f t="shared" si="1"/>
        <v>33.511351287617266</v>
      </c>
      <c r="S32" s="94">
        <f t="shared" si="2"/>
        <v>17.793122032672557</v>
      </c>
      <c r="T32" s="80">
        <f t="shared" si="9"/>
        <v>2.6761249197560888</v>
      </c>
      <c r="W32" s="73"/>
    </row>
    <row r="33" spans="8:23" x14ac:dyDescent="0.25">
      <c r="H33" s="15">
        <f t="shared" si="3"/>
        <v>2047</v>
      </c>
      <c r="I33" s="97">
        <f t="shared" si="10"/>
        <v>5016.8197001642384</v>
      </c>
      <c r="J33" s="60">
        <f t="shared" si="4"/>
        <v>221824.60115258125</v>
      </c>
      <c r="K33" s="60">
        <f>IF(H33=Year_Open_to_Traffic?,Calculations!$E$4,K32+(K32*M33))</f>
        <v>221433.14597407676</v>
      </c>
      <c r="L33" s="60">
        <f>IF(AND(H33&gt;=Year_Open_to_Traffic?, Calculations!H33&lt;Year_Open_to_Traffic?+'Inputs &amp; Outputs'!B$21), 1, 0)</f>
        <v>1</v>
      </c>
      <c r="M33" s="81">
        <f t="shared" si="11"/>
        <v>2.4794122516786921E-2</v>
      </c>
      <c r="N33" s="87">
        <f t="shared" si="12"/>
        <v>0.49203802473168323</v>
      </c>
      <c r="O33" s="88">
        <f t="shared" si="7"/>
        <v>1</v>
      </c>
      <c r="P33" s="84">
        <f t="shared" si="8"/>
        <v>391.4551785044896</v>
      </c>
      <c r="Q33" s="85">
        <f t="shared" si="0"/>
        <v>1</v>
      </c>
      <c r="R33" s="86">
        <f t="shared" si="1"/>
        <v>34.282112367232457</v>
      </c>
      <c r="S33" s="94">
        <f t="shared" si="2"/>
        <v>18.653675478554071</v>
      </c>
      <c r="T33" s="80">
        <f t="shared" si="9"/>
        <v>2.6220131419917556</v>
      </c>
      <c r="W33" s="73"/>
    </row>
    <row r="34" spans="8:23" x14ac:dyDescent="0.25">
      <c r="H34" s="15">
        <f t="shared" si="3"/>
        <v>2048</v>
      </c>
      <c r="I34" s="97">
        <f t="shared" si="10"/>
        <v>5141.2073424547407</v>
      </c>
      <c r="J34" s="60">
        <f t="shared" si="4"/>
        <v>227324.54749079575</v>
      </c>
      <c r="K34" s="60">
        <f>IF(H34=Year_Open_to_Traffic?,Calculations!$E$4,K33+(K33*M34))</f>
        <v>226923.38652463557</v>
      </c>
      <c r="L34" s="60">
        <f>IF(AND(H34&gt;=Year_Open_to_Traffic?, Calculations!H34&lt;Year_Open_to_Traffic?+'Inputs &amp; Outputs'!B$21), 1, 0)</f>
        <v>1</v>
      </c>
      <c r="M34" s="81">
        <f t="shared" si="11"/>
        <v>2.4794122516786921E-2</v>
      </c>
      <c r="N34" s="87">
        <f t="shared" si="12"/>
        <v>0.50423767579979839</v>
      </c>
      <c r="O34" s="88">
        <f t="shared" si="7"/>
        <v>1</v>
      </c>
      <c r="P34" s="84">
        <f t="shared" si="8"/>
        <v>401.16096616018331</v>
      </c>
      <c r="Q34" s="85">
        <f t="shared" si="0"/>
        <v>1</v>
      </c>
      <c r="R34" s="86">
        <f t="shared" si="1"/>
        <v>35.070600951678806</v>
      </c>
      <c r="S34" s="94">
        <f t="shared" si="2"/>
        <v>19.555849064615259</v>
      </c>
      <c r="T34" s="80">
        <f t="shared" si="9"/>
        <v>2.5689955151287882</v>
      </c>
      <c r="W34" s="73"/>
    </row>
    <row r="35" spans="8:23" x14ac:dyDescent="0.25">
      <c r="H35" s="15">
        <f t="shared" si="3"/>
        <v>2049</v>
      </c>
      <c r="I35" s="97">
        <f t="shared" si="10"/>
        <v>5268.6790671877679</v>
      </c>
      <c r="J35" s="60">
        <f t="shared" si="4"/>
        <v>232960.86017235569</v>
      </c>
      <c r="K35" s="60">
        <f>IF(H35=Year_Open_to_Traffic?,Calculations!$E$4,K34+(K34*M35))</f>
        <v>232549.75277205158</v>
      </c>
      <c r="L35" s="60">
        <f>IF(AND(H35&gt;=Year_Open_to_Traffic?, Calculations!H35&lt;Year_Open_to_Traffic?+'Inputs &amp; Outputs'!B$21), 1, 0)</f>
        <v>1</v>
      </c>
      <c r="M35" s="81">
        <f t="shared" si="11"/>
        <v>2.4794122516786921E-2</v>
      </c>
      <c r="N35" s="87">
        <f t="shared" si="12"/>
        <v>0.51673980651115847</v>
      </c>
      <c r="O35" s="88">
        <f t="shared" si="7"/>
        <v>1</v>
      </c>
      <c r="P35" s="84">
        <f t="shared" si="8"/>
        <v>411.10740030411398</v>
      </c>
      <c r="Q35" s="85">
        <f t="shared" si="0"/>
        <v>1</v>
      </c>
      <c r="R35" s="86">
        <f t="shared" si="1"/>
        <v>35.877224773567399</v>
      </c>
      <c r="S35" s="94">
        <f t="shared" si="2"/>
        <v>20.50165572343483</v>
      </c>
      <c r="T35" s="80">
        <f t="shared" si="9"/>
        <v>2.5170499152182519</v>
      </c>
      <c r="W35" s="73"/>
    </row>
    <row r="36" spans="8:23" x14ac:dyDescent="0.25">
      <c r="H36" s="15">
        <f t="shared" si="3"/>
        <v>2050</v>
      </c>
      <c r="I36" s="97">
        <f t="shared" si="10"/>
        <v>5399.3113414812524</v>
      </c>
      <c r="J36" s="60">
        <f t="shared" si="4"/>
        <v>238736.92028108516</v>
      </c>
      <c r="K36" s="60">
        <f>IF(H36=Year_Open_to_Traffic?,Calculations!$E$4,K35+(K35*M36))</f>
        <v>238315.61983353033</v>
      </c>
      <c r="L36" s="60">
        <f>IF(AND(H36&gt;=Year_Open_to_Traffic?, Calculations!H36&lt;Year_Open_to_Traffic?+'Inputs &amp; Outputs'!B$21), 1, 0)</f>
        <v>1</v>
      </c>
      <c r="M36" s="81">
        <f t="shared" si="11"/>
        <v>2.4794122516786921E-2</v>
      </c>
      <c r="N36" s="87">
        <f t="shared" si="12"/>
        <v>0.52955191658309686</v>
      </c>
      <c r="O36" s="88">
        <f t="shared" si="7"/>
        <v>1</v>
      </c>
      <c r="P36" s="84">
        <f t="shared" si="8"/>
        <v>421.30044755482231</v>
      </c>
      <c r="Q36" s="85">
        <f t="shared" si="0"/>
        <v>1</v>
      </c>
      <c r="R36" s="86">
        <f t="shared" si="1"/>
        <v>36.702400943359457</v>
      </c>
      <c r="S36" s="94">
        <f t="shared" si="2"/>
        <v>21.493205741845681</v>
      </c>
      <c r="T36" s="80">
        <f t="shared" si="9"/>
        <v>2.4661546656622795</v>
      </c>
      <c r="W36" s="73"/>
    </row>
    <row r="37" spans="8:23" x14ac:dyDescent="0.25">
      <c r="H37" s="52"/>
      <c r="I37" s="52"/>
      <c r="J37" s="52"/>
      <c r="K37" s="52"/>
      <c r="L37" s="52"/>
      <c r="M37" s="75"/>
      <c r="N37" s="76"/>
      <c r="O37" s="77"/>
      <c r="P37" s="52"/>
      <c r="Q37" s="52"/>
      <c r="R37" s="52"/>
      <c r="S37" s="74"/>
      <c r="T37" s="80">
        <f>SUM(T4:T36)</f>
        <v>96.70137525958738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2018-10-24T19:10:17Z</dcterms:modified>
</cp:coreProperties>
</file>