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codeName="ThisWorkbook" defaultThemeVersion="124226"/>
  <mc:AlternateContent xmlns:mc="http://schemas.openxmlformats.org/markup-compatibility/2006">
    <mc:Choice Requires="x15">
      <x15ac:absPath xmlns:x15ac="http://schemas.microsoft.com/office/spreadsheetml/2010/11/ac" url="\\tgchoudc01\TGC_Projects\Houston_TX\H-GAC\2018 H-GAC Call for Projects\TIP Matrix For Call\Tech Services Folder\BCA files\CON - Sidewalks\"/>
    </mc:Choice>
  </mc:AlternateContent>
  <xr:revisionPtr revIDLastSave="0" documentId="13_ncr:1_{45B8E94C-7BEB-4889-81E3-984BA46B1E70}" xr6:coauthVersionLast="37" xr6:coauthVersionMax="37" xr10:uidLastSave="{00000000-0000-0000-0000-000000000000}"/>
  <bookViews>
    <workbookView xWindow="3000" yWindow="0" windowWidth="17496" windowHeight="7992"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CRASH RATES" sheetId="15" r:id="rId7"/>
    <sheet name="Value of Statistical Life" sheetId="9" r:id="rId8"/>
    <sheet name="Service Life" sheetId="17" r:id="rId9"/>
  </sheets>
  <externalReferences>
    <externalReference r:id="rId10"/>
  </externalReferences>
  <definedNames>
    <definedName name="_2018_2025_Demand_Growth">Calculations!$B$10</definedName>
    <definedName name="_2018_2025_V_C_Growth">Calculations!$B$16</definedName>
    <definedName name="_2018_2045_Demand_Growth">Calculations!$B$12</definedName>
    <definedName name="_2018_2045_V_C_Growth">Calculations!$B$18</definedName>
    <definedName name="_2018_Capacity">'Inputs &amp; Outputs'!$C$27</definedName>
    <definedName name="_2018_V_C_Ratio">Calculations!$B$13</definedName>
    <definedName name="_2018_Volume">'Inputs &amp; Outputs'!#REF!</definedName>
    <definedName name="_2025_2040_V_C_Growth">Calculations!$B$17</definedName>
    <definedName name="_2025_2045_Demand_Growth">Calculations!$B$11</definedName>
    <definedName name="_2025_Capacity">'Inputs &amp; Outputs'!$C$29</definedName>
    <definedName name="_2025_V_C_Ratio">Calculations!$B$14</definedName>
    <definedName name="_2025_Volume">'Inputs &amp; Outputs'!$C$28</definedName>
    <definedName name="_2045_Capacity">'Inputs &amp; Outputs'!$C$31</definedName>
    <definedName name="_2045_V_C_Ratio">Calculations!$B$15</definedName>
    <definedName name="_2045_Volume">'Inputs &amp; Outputs'!$C$30</definedName>
    <definedName name="Annual_Days_of_Travel">Calculations!#REF!</definedName>
    <definedName name="Application_ID_Number">'Inputs &amp; Outputs'!$C$12</definedName>
    <definedName name="Appropriate_Crash_Reduction_Factor">'Inputs &amp; Outputs'!#REF!</definedName>
    <definedName name="Base_Year">Calculations!$B$4</definedName>
    <definedName name="Crash_Avg">Calculations!$E$10:$E$15</definedName>
    <definedName name="Crash_Hist_Reset">#REF!</definedName>
    <definedName name="Crash_Hist_Tab">#REF!</definedName>
    <definedName name="CRIS_Titles">Calculations!$D$10:$D$15</definedName>
    <definedName name="Death_Rate">Calculations!$E$10</definedName>
    <definedName name="Discount_Rate">Calculations!#REF!</definedName>
    <definedName name="Freeway">[1]VMT!$B$45:$D$52</definedName>
    <definedName name="GDP_Deflator_Future">'Assumed Values'!$C$8</definedName>
    <definedName name="Incap_Injry_Rate">Calculations!$E$11</definedName>
    <definedName name="Name">'Inputs &amp; Outputs'!$C$6</definedName>
    <definedName name="Non_Injry_Rate">Calculations!$E$14</definedName>
    <definedName name="Nonincap_Injry_Rate">Calculations!$E$12</definedName>
    <definedName name="Other">[1]VMT!$B$56:$D$63</definedName>
    <definedName name="Poss_Injry_Rate">Calculations!$E$13</definedName>
    <definedName name="Possible_Crash_Reductions">Calculations!$J$28:$J$34</definedName>
    <definedName name="Preventable_Crash_History">'Inputs &amp; Outputs'!#REF!</definedName>
    <definedName name="_xlnm.Print_Area" localSheetId="5">'Assumed Values'!$B$2:$C$30</definedName>
    <definedName name="_xlnm.Print_Area" localSheetId="4">Calculations!$A$3:$S$37</definedName>
    <definedName name="_xlnm.Print_Area" localSheetId="2">'Emissions Reduction Worksheet'!$A$3:$K$33</definedName>
    <definedName name="_xlnm.Print_Area" localSheetId="3">'Inputs &amp; Outputs'!$B$3:$F$36</definedName>
    <definedName name="_xlnm.Print_Area" localSheetId="0">Instructions!$A$1:$G$12</definedName>
    <definedName name="_xlnm.Print_Area" localSheetId="1">'ITS Delay Worksheet'!$A$3:$J$33</definedName>
    <definedName name="Service_Life">'Inputs &amp; Outputs'!$C$18</definedName>
    <definedName name="Sponsor_ID_Number__CSJ__etc.">'Inputs &amp; Outputs'!$C$13</definedName>
    <definedName name="Unkn_Injry_Rate">Calculations!$E$15</definedName>
    <definedName name="Value_of_Delay_Savings__2015_____000s">Calculations!$S$4:$S$36</definedName>
    <definedName name="Value_of_Statistical_Life_2018">'Value of Statistical Life'!$F$5:$F$11</definedName>
    <definedName name="Vehicle_Occupancy">Calculations!#REF!</definedName>
    <definedName name="Year_Open_to_Traffic?">'Inputs &amp; Outputs'!$C$16</definedName>
    <definedName name="Years_to_include_in_BCA_Analysis">Calculations!$B$5</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18" i="11" l="1"/>
  <c r="R36" i="15" l="1"/>
  <c r="S36" i="15"/>
  <c r="T36" i="15"/>
  <c r="U36" i="15"/>
  <c r="V36" i="15"/>
  <c r="W36" i="15"/>
  <c r="X36" i="15"/>
  <c r="N36" i="15" l="1"/>
  <c r="O35" i="15"/>
  <c r="O34" i="15"/>
  <c r="O33" i="15"/>
  <c r="O32" i="15"/>
  <c r="O31" i="15"/>
  <c r="O30" i="15"/>
  <c r="O29" i="15"/>
  <c r="O28" i="15"/>
  <c r="N22" i="15"/>
  <c r="O21" i="15"/>
  <c r="O20" i="15"/>
  <c r="O19" i="15"/>
  <c r="O18" i="15"/>
  <c r="O17" i="15"/>
  <c r="O16" i="15"/>
  <c r="O15" i="15"/>
  <c r="O14" i="15"/>
  <c r="O22" i="15" s="1"/>
  <c r="B5" i="12"/>
  <c r="E15" i="12"/>
  <c r="E14" i="12"/>
  <c r="E13" i="12"/>
  <c r="E12" i="12"/>
  <c r="E11" i="12"/>
  <c r="E10" i="12"/>
  <c r="O36" i="15" l="1"/>
  <c r="C11" i="2"/>
  <c r="Q4" i="12" l="1"/>
  <c r="B11" i="12"/>
  <c r="B12" i="12"/>
  <c r="E4" i="12" l="1"/>
  <c r="E5" i="12" s="1"/>
  <c r="E6" i="12" l="1"/>
  <c r="E20" i="12" l="1"/>
  <c r="E24" i="12" l="1"/>
  <c r="E21" i="12"/>
  <c r="E22" i="12"/>
  <c r="E23" i="12"/>
  <c r="E19" i="12"/>
  <c r="X22" i="15"/>
  <c r="W22" i="15"/>
  <c r="W38" i="15" s="1"/>
  <c r="V22" i="15"/>
  <c r="V38" i="15" s="1"/>
  <c r="U22" i="15"/>
  <c r="U38" i="15" s="1"/>
  <c r="T22" i="15"/>
  <c r="T38" i="15" s="1"/>
  <c r="S22" i="15"/>
  <c r="S38" i="15" s="1"/>
  <c r="R22" i="15"/>
  <c r="R38" i="15" s="1"/>
  <c r="X38" i="15" l="1"/>
  <c r="B13" i="12" l="1"/>
  <c r="B15" i="12"/>
  <c r="B14" i="12"/>
  <c r="B10" i="12"/>
  <c r="I24" i="9" l="1"/>
  <c r="H24" i="9"/>
  <c r="G24" i="9"/>
  <c r="F24" i="9"/>
  <c r="E24" i="9"/>
  <c r="D24" i="9"/>
  <c r="R4" i="12" l="1"/>
  <c r="B17" i="12" l="1"/>
  <c r="O4" i="12"/>
  <c r="P4" i="12" s="1"/>
  <c r="B18" i="12"/>
  <c r="N15" i="12"/>
  <c r="N33" i="12"/>
  <c r="N35" i="12"/>
  <c r="N32" i="12"/>
  <c r="N34" i="12"/>
  <c r="N36" i="12"/>
  <c r="N31" i="12"/>
  <c r="N30" i="12"/>
  <c r="N7" i="12"/>
  <c r="N24" i="12"/>
  <c r="N8" i="12"/>
  <c r="N17" i="12"/>
  <c r="N11" i="12"/>
  <c r="N28" i="12"/>
  <c r="N20" i="12"/>
  <c r="N5" i="12"/>
  <c r="N29" i="12"/>
  <c r="N21" i="12"/>
  <c r="N13" i="12"/>
  <c r="N16" i="12"/>
  <c r="N27" i="12"/>
  <c r="N25" i="12"/>
  <c r="N9" i="12"/>
  <c r="N26" i="12"/>
  <c r="N18" i="12"/>
  <c r="N10" i="12"/>
  <c r="N19" i="12"/>
  <c r="N12" i="12"/>
  <c r="N22" i="12"/>
  <c r="N14" i="12"/>
  <c r="N6" i="12"/>
  <c r="N23" i="12"/>
  <c r="B16" i="12"/>
  <c r="M5" i="12"/>
  <c r="R5" i="12" l="1"/>
  <c r="O5" i="12"/>
  <c r="P5" i="12" s="1"/>
  <c r="Q5" i="12" s="1"/>
  <c r="M6" i="12"/>
  <c r="R6" i="12" l="1"/>
  <c r="O6" i="12"/>
  <c r="P6" i="12" s="1"/>
  <c r="Q6" i="12" s="1"/>
  <c r="M7" i="12"/>
  <c r="C21" i="2"/>
  <c r="B18" i="5" s="1"/>
  <c r="E17" i="5" s="1"/>
  <c r="C22" i="2"/>
  <c r="B19" i="5"/>
  <c r="E18" i="5" s="1"/>
  <c r="G4" i="7"/>
  <c r="G5" i="7" s="1"/>
  <c r="G4" i="5"/>
  <c r="G5" i="5" s="1"/>
  <c r="G6" i="5" s="1"/>
  <c r="G7" i="5" s="1"/>
  <c r="G8" i="5" s="1"/>
  <c r="G9" i="5" s="1"/>
  <c r="G10" i="5" s="1"/>
  <c r="G11" i="5" s="1"/>
  <c r="G12" i="5" s="1"/>
  <c r="G13" i="5" s="1"/>
  <c r="G14" i="5" s="1"/>
  <c r="B18" i="7"/>
  <c r="B17" i="7"/>
  <c r="B16" i="7"/>
  <c r="E17" i="7"/>
  <c r="H4" i="7" l="1"/>
  <c r="I4" i="7" s="1"/>
  <c r="R7" i="12"/>
  <c r="H10" i="5"/>
  <c r="C20" i="2"/>
  <c r="B21" i="5" s="1"/>
  <c r="C19" i="2"/>
  <c r="B20" i="5" s="1"/>
  <c r="H5" i="7"/>
  <c r="I5" i="7" s="1"/>
  <c r="G6" i="7"/>
  <c r="J14" i="5"/>
  <c r="G15" i="5"/>
  <c r="H14" i="5"/>
  <c r="O7" i="12"/>
  <c r="P7" i="12" s="1"/>
  <c r="Q7" i="12" s="1"/>
  <c r="M8" i="12"/>
  <c r="H6" i="5"/>
  <c r="H11" i="5"/>
  <c r="J5" i="5"/>
  <c r="J13" i="5"/>
  <c r="J11" i="5"/>
  <c r="J10" i="5"/>
  <c r="J9" i="5"/>
  <c r="J4" i="5"/>
  <c r="J12" i="5"/>
  <c r="J8" i="5"/>
  <c r="J7" i="5"/>
  <c r="J6" i="5"/>
  <c r="H12" i="5"/>
  <c r="H4" i="5"/>
  <c r="H13" i="5"/>
  <c r="H5" i="5"/>
  <c r="H7" i="5"/>
  <c r="H8" i="5"/>
  <c r="H9" i="5"/>
  <c r="R8" i="12" l="1"/>
  <c r="G27" i="12"/>
  <c r="D27" i="12"/>
  <c r="C15" i="2"/>
  <c r="B19" i="7" s="1"/>
  <c r="K4" i="5"/>
  <c r="G7" i="7"/>
  <c r="H6" i="7"/>
  <c r="I6" i="7" s="1"/>
  <c r="H15" i="5"/>
  <c r="I15" i="5" s="1"/>
  <c r="J15" i="5"/>
  <c r="K15" i="5" s="1"/>
  <c r="G16" i="5"/>
  <c r="O8" i="12"/>
  <c r="P8" i="12" s="1"/>
  <c r="K10" i="5"/>
  <c r="K12" i="5"/>
  <c r="K8" i="5"/>
  <c r="K14" i="5"/>
  <c r="K7" i="5"/>
  <c r="K5" i="5"/>
  <c r="K6" i="5"/>
  <c r="K13" i="5"/>
  <c r="K11" i="5"/>
  <c r="K9" i="5"/>
  <c r="I13" i="5"/>
  <c r="M9" i="12"/>
  <c r="I7" i="5"/>
  <c r="I8" i="5"/>
  <c r="I10" i="5"/>
  <c r="I9" i="5"/>
  <c r="I14" i="5"/>
  <c r="I12" i="5"/>
  <c r="I5" i="5"/>
  <c r="I6" i="5"/>
  <c r="I11" i="5"/>
  <c r="I4" i="5"/>
  <c r="R9" i="12" l="1"/>
  <c r="D33" i="12"/>
  <c r="D34" i="12"/>
  <c r="D28" i="12"/>
  <c r="D29" i="12"/>
  <c r="D30" i="12"/>
  <c r="D31" i="12"/>
  <c r="D32" i="12"/>
  <c r="G29" i="12"/>
  <c r="G34" i="12"/>
  <c r="G31" i="12"/>
  <c r="G28" i="12"/>
  <c r="G33" i="12"/>
  <c r="G30" i="12"/>
  <c r="G32" i="12"/>
  <c r="H27" i="12"/>
  <c r="I27" i="12"/>
  <c r="F27" i="12"/>
  <c r="E27" i="12"/>
  <c r="O9" i="12"/>
  <c r="P9" i="12" s="1"/>
  <c r="H16" i="5"/>
  <c r="J16" i="5"/>
  <c r="K16" i="5" s="1"/>
  <c r="G17" i="5"/>
  <c r="G8" i="7"/>
  <c r="H7" i="7"/>
  <c r="I7" i="7"/>
  <c r="J7" i="7" s="1"/>
  <c r="M10" i="12"/>
  <c r="J6" i="7"/>
  <c r="J5" i="7"/>
  <c r="J4" i="7"/>
  <c r="H32" i="12" l="1"/>
  <c r="H29" i="12"/>
  <c r="H34" i="12"/>
  <c r="H31" i="12"/>
  <c r="H28" i="12"/>
  <c r="H33" i="12"/>
  <c r="H30" i="12"/>
  <c r="E31" i="12"/>
  <c r="E28" i="12"/>
  <c r="E33" i="12"/>
  <c r="E30" i="12"/>
  <c r="E32" i="12"/>
  <c r="E29" i="12"/>
  <c r="E34" i="12"/>
  <c r="F34" i="12"/>
  <c r="F31" i="12"/>
  <c r="F28" i="12"/>
  <c r="F33" i="12"/>
  <c r="F30" i="12"/>
  <c r="F32" i="12"/>
  <c r="F29" i="12"/>
  <c r="I32" i="12"/>
  <c r="I29" i="12"/>
  <c r="I34" i="12"/>
  <c r="I31" i="12"/>
  <c r="I28" i="12"/>
  <c r="I30" i="12"/>
  <c r="I33" i="12"/>
  <c r="O10" i="12"/>
  <c r="O11" i="12" s="1"/>
  <c r="H8" i="7"/>
  <c r="I8" i="7"/>
  <c r="J8" i="7" s="1"/>
  <c r="G9" i="7"/>
  <c r="J17" i="5"/>
  <c r="K17" i="5" s="1"/>
  <c r="G18" i="5"/>
  <c r="H17" i="5"/>
  <c r="I17" i="5" s="1"/>
  <c r="I16" i="5"/>
  <c r="R10" i="12"/>
  <c r="M11" i="12"/>
  <c r="J33" i="12" l="1"/>
  <c r="J32" i="12"/>
  <c r="J34" i="12"/>
  <c r="J30" i="12"/>
  <c r="J29" i="12"/>
  <c r="J28" i="12"/>
  <c r="J31" i="12"/>
  <c r="P10" i="12"/>
  <c r="H9" i="7"/>
  <c r="I9" i="7" s="1"/>
  <c r="J9" i="7" s="1"/>
  <c r="G10" i="7"/>
  <c r="J18" i="5"/>
  <c r="K18" i="5" s="1"/>
  <c r="G19" i="5"/>
  <c r="H18" i="5"/>
  <c r="R11" i="12"/>
  <c r="P11" i="12"/>
  <c r="O12" i="12"/>
  <c r="M12" i="12"/>
  <c r="J4" i="12" l="1"/>
  <c r="Q8" i="12" s="1"/>
  <c r="Q9" i="12" s="1"/>
  <c r="Q10" i="12" s="1"/>
  <c r="Q11" i="12" s="1"/>
  <c r="G11" i="7"/>
  <c r="H10" i="7"/>
  <c r="I10" i="7" s="1"/>
  <c r="J10" i="7" s="1"/>
  <c r="I18" i="5"/>
  <c r="H19" i="5"/>
  <c r="I19" i="5" s="1"/>
  <c r="J19" i="5"/>
  <c r="K19" i="5" s="1"/>
  <c r="G20" i="5"/>
  <c r="R12" i="12"/>
  <c r="O13" i="12"/>
  <c r="P12" i="12"/>
  <c r="M13" i="12"/>
  <c r="Q12" i="12" l="1"/>
  <c r="S4" i="12"/>
  <c r="T4" i="12" s="1"/>
  <c r="S5" i="12"/>
  <c r="T5" i="12" s="1"/>
  <c r="G12" i="7"/>
  <c r="H11" i="7"/>
  <c r="I11" i="7" s="1"/>
  <c r="J11" i="7" s="1"/>
  <c r="H20" i="5"/>
  <c r="I20" i="5" s="1"/>
  <c r="J20" i="5"/>
  <c r="K20" i="5" s="1"/>
  <c r="G21" i="5"/>
  <c r="R13" i="12"/>
  <c r="O14" i="12"/>
  <c r="P13" i="12"/>
  <c r="M14" i="12"/>
  <c r="Q13" i="12" l="1"/>
  <c r="S6" i="12"/>
  <c r="T6" i="12" s="1"/>
  <c r="S7" i="12"/>
  <c r="T7" i="12" s="1"/>
  <c r="J21" i="5"/>
  <c r="K21" i="5" s="1"/>
  <c r="G22" i="5"/>
  <c r="H21" i="5"/>
  <c r="H12" i="7"/>
  <c r="I12" i="7" s="1"/>
  <c r="J12" i="7" s="1"/>
  <c r="G13" i="7"/>
  <c r="R14" i="12"/>
  <c r="O15" i="12"/>
  <c r="P14" i="12"/>
  <c r="M15" i="12"/>
  <c r="Q14" i="12" l="1"/>
  <c r="S8" i="12"/>
  <c r="T8" i="12" s="1"/>
  <c r="I21" i="5"/>
  <c r="H13" i="7"/>
  <c r="I13" i="7" s="1"/>
  <c r="J13" i="7" s="1"/>
  <c r="G14" i="7"/>
  <c r="J22" i="5"/>
  <c r="K22" i="5" s="1"/>
  <c r="G23" i="5"/>
  <c r="H22" i="5"/>
  <c r="I22" i="5" s="1"/>
  <c r="R15" i="12"/>
  <c r="O16" i="12"/>
  <c r="P15" i="12"/>
  <c r="M16" i="12"/>
  <c r="Q15" i="12" l="1"/>
  <c r="H23" i="5"/>
  <c r="I23" i="5" s="1"/>
  <c r="J23" i="5"/>
  <c r="K23" i="5" s="1"/>
  <c r="G24" i="5"/>
  <c r="G15" i="7"/>
  <c r="H14" i="7"/>
  <c r="I14" i="7" s="1"/>
  <c r="J14" i="7" s="1"/>
  <c r="R16" i="12"/>
  <c r="O17" i="12"/>
  <c r="P16" i="12"/>
  <c r="Q16" i="12" s="1"/>
  <c r="M17" i="12"/>
  <c r="S9" i="12" l="1"/>
  <c r="T9" i="12" s="1"/>
  <c r="S10" i="12"/>
  <c r="T10" i="12" s="1"/>
  <c r="H24" i="5"/>
  <c r="I24" i="5" s="1"/>
  <c r="J24" i="5"/>
  <c r="K24" i="5" s="1"/>
  <c r="G25" i="5"/>
  <c r="G16" i="7"/>
  <c r="H15" i="7"/>
  <c r="I15" i="7" s="1"/>
  <c r="J15" i="7" s="1"/>
  <c r="R17" i="12"/>
  <c r="O18" i="12"/>
  <c r="P17" i="12"/>
  <c r="Q17" i="12" s="1"/>
  <c r="M18" i="12"/>
  <c r="B11" i="5" l="1"/>
  <c r="B12" i="5" s="1"/>
  <c r="H16" i="7"/>
  <c r="I16" i="7"/>
  <c r="J16" i="7" s="1"/>
  <c r="G17" i="7"/>
  <c r="J25" i="5"/>
  <c r="K25" i="5" s="1"/>
  <c r="G26" i="5"/>
  <c r="H25" i="5"/>
  <c r="I25" i="5" s="1"/>
  <c r="R18" i="12"/>
  <c r="O19" i="12"/>
  <c r="P18" i="12"/>
  <c r="Q18" i="12" s="1"/>
  <c r="M19" i="12"/>
  <c r="S11" i="12" l="1"/>
  <c r="T11" i="12" s="1"/>
  <c r="H17" i="7"/>
  <c r="I17" i="7" s="1"/>
  <c r="J17" i="7" s="1"/>
  <c r="G18" i="7"/>
  <c r="J26" i="5"/>
  <c r="K26" i="5" s="1"/>
  <c r="G27" i="5"/>
  <c r="H26" i="5"/>
  <c r="I26" i="5" s="1"/>
  <c r="R19" i="12"/>
  <c r="O20" i="12"/>
  <c r="P19" i="12"/>
  <c r="Q19" i="12" s="1"/>
  <c r="M20" i="12"/>
  <c r="S12" i="12" l="1"/>
  <c r="T12" i="12" s="1"/>
  <c r="S13" i="12"/>
  <c r="T13" i="12" s="1"/>
  <c r="G19" i="7"/>
  <c r="H18" i="7"/>
  <c r="I18" i="7" s="1"/>
  <c r="J18" i="7" s="1"/>
  <c r="H27" i="5"/>
  <c r="I27" i="5" s="1"/>
  <c r="J27" i="5"/>
  <c r="K27" i="5" s="1"/>
  <c r="G28" i="5"/>
  <c r="R20" i="12"/>
  <c r="O21" i="12"/>
  <c r="P20" i="12"/>
  <c r="Q20" i="12" s="1"/>
  <c r="M21" i="12"/>
  <c r="S14" i="12" l="1"/>
  <c r="T14" i="12" s="1"/>
  <c r="H28" i="5"/>
  <c r="I28" i="5" s="1"/>
  <c r="J28" i="5"/>
  <c r="K28" i="5" s="1"/>
  <c r="G29" i="5"/>
  <c r="G20" i="7"/>
  <c r="H19" i="7"/>
  <c r="I19" i="7" s="1"/>
  <c r="J19" i="7" s="1"/>
  <c r="R21" i="12"/>
  <c r="O22" i="12"/>
  <c r="P21" i="12"/>
  <c r="Q21" i="12" s="1"/>
  <c r="M22" i="12"/>
  <c r="S15" i="12" l="1"/>
  <c r="T15" i="12" s="1"/>
  <c r="H20" i="7"/>
  <c r="I20" i="7" s="1"/>
  <c r="J20" i="7" s="1"/>
  <c r="G21" i="7"/>
  <c r="J29" i="5"/>
  <c r="K29" i="5" s="1"/>
  <c r="H29" i="5"/>
  <c r="R22" i="12"/>
  <c r="O23" i="12"/>
  <c r="P22" i="12"/>
  <c r="Q22" i="12" s="1"/>
  <c r="M23" i="12"/>
  <c r="S16" i="12" l="1"/>
  <c r="T16" i="12" s="1"/>
  <c r="H21" i="7"/>
  <c r="I21" i="7" s="1"/>
  <c r="J21" i="7" s="1"/>
  <c r="G22" i="7"/>
  <c r="I29" i="5"/>
  <c r="B13" i="5"/>
  <c r="R23" i="12"/>
  <c r="O24" i="12"/>
  <c r="P23" i="12"/>
  <c r="Q23" i="12" s="1"/>
  <c r="M24" i="12"/>
  <c r="S17" i="12" l="1"/>
  <c r="T17" i="12" s="1"/>
  <c r="G23" i="7"/>
  <c r="H22" i="7"/>
  <c r="I22" i="7" s="1"/>
  <c r="J22" i="7" s="1"/>
  <c r="R24" i="12"/>
  <c r="O25" i="12"/>
  <c r="P24" i="12"/>
  <c r="Q24" i="12" s="1"/>
  <c r="M25" i="12"/>
  <c r="S18" i="12" l="1"/>
  <c r="T18" i="12" s="1"/>
  <c r="G24" i="7"/>
  <c r="H23" i="7"/>
  <c r="I23" i="7"/>
  <c r="J23" i="7" s="1"/>
  <c r="R25" i="12"/>
  <c r="O26" i="12"/>
  <c r="P25" i="12"/>
  <c r="Q25" i="12" s="1"/>
  <c r="M26" i="12"/>
  <c r="S19" i="12" l="1"/>
  <c r="T19" i="12" s="1"/>
  <c r="H24" i="7"/>
  <c r="I24" i="7"/>
  <c r="J24" i="7" s="1"/>
  <c r="G25" i="7"/>
  <c r="R26" i="12"/>
  <c r="O27" i="12"/>
  <c r="P26" i="12"/>
  <c r="Q26" i="12" s="1"/>
  <c r="M27" i="12"/>
  <c r="S20" i="12" l="1"/>
  <c r="T20" i="12" s="1"/>
  <c r="H25" i="7"/>
  <c r="I25" i="7"/>
  <c r="J25" i="7" s="1"/>
  <c r="G26" i="7"/>
  <c r="R27" i="12"/>
  <c r="O28" i="12"/>
  <c r="P27" i="12"/>
  <c r="Q27" i="12" s="1"/>
  <c r="M28" i="12"/>
  <c r="S21" i="12" l="1"/>
  <c r="T21" i="12" s="1"/>
  <c r="G27" i="7"/>
  <c r="H26" i="7"/>
  <c r="I26" i="7" s="1"/>
  <c r="J26" i="7" s="1"/>
  <c r="R28" i="12"/>
  <c r="O29" i="12"/>
  <c r="P28" i="12"/>
  <c r="Q28" i="12" s="1"/>
  <c r="M29" i="12"/>
  <c r="S22" i="12" l="1"/>
  <c r="T22" i="12" s="1"/>
  <c r="G28" i="7"/>
  <c r="H27" i="7"/>
  <c r="I27" i="7"/>
  <c r="J27" i="7" s="1"/>
  <c r="P29" i="12"/>
  <c r="Q29" i="12" s="1"/>
  <c r="O30" i="12"/>
  <c r="M30" i="12"/>
  <c r="R29" i="12"/>
  <c r="S23" i="12" l="1"/>
  <c r="T23" i="12" s="1"/>
  <c r="H28" i="7"/>
  <c r="I28" i="7"/>
  <c r="J28" i="7" s="1"/>
  <c r="G29" i="7"/>
  <c r="P30" i="12"/>
  <c r="Q30" i="12" s="1"/>
  <c r="O31" i="12"/>
  <c r="R30" i="12"/>
  <c r="M31" i="12"/>
  <c r="M32" i="12" s="1"/>
  <c r="S24" i="12" l="1"/>
  <c r="T24" i="12" s="1"/>
  <c r="H29" i="7"/>
  <c r="I29" i="7" s="1"/>
  <c r="J29" i="7" s="1"/>
  <c r="B11" i="7" s="1"/>
  <c r="B12" i="7" s="1"/>
  <c r="M33" i="12"/>
  <c r="R32" i="12"/>
  <c r="P31" i="12"/>
  <c r="Q31" i="12" s="1"/>
  <c r="O32" i="12"/>
  <c r="R31" i="12"/>
  <c r="S25" i="12" l="1"/>
  <c r="T25" i="12" s="1"/>
  <c r="M34" i="12"/>
  <c r="R33" i="12"/>
  <c r="P32" i="12"/>
  <c r="Q32" i="12" s="1"/>
  <c r="O33" i="12"/>
  <c r="S26" i="12" l="1"/>
  <c r="T26" i="12" s="1"/>
  <c r="R34" i="12"/>
  <c r="M35" i="12"/>
  <c r="P33" i="12"/>
  <c r="Q33" i="12" s="1"/>
  <c r="O34" i="12"/>
  <c r="S27" i="12" l="1"/>
  <c r="T27" i="12" s="1"/>
  <c r="M36" i="12"/>
  <c r="R35" i="12"/>
  <c r="P34" i="12"/>
  <c r="Q34" i="12" s="1"/>
  <c r="O35" i="12"/>
  <c r="S28" i="12" l="1"/>
  <c r="T28" i="12" s="1"/>
  <c r="R36" i="12"/>
  <c r="P35" i="12"/>
  <c r="Q35" i="12" s="1"/>
  <c r="O36" i="12"/>
  <c r="P36" i="12" s="1"/>
  <c r="Q36" i="12" l="1"/>
  <c r="S29" i="12"/>
  <c r="T29" i="12" s="1"/>
  <c r="S30" i="12" l="1"/>
  <c r="T30" i="12" s="1"/>
  <c r="S31" i="12" l="1"/>
  <c r="T31" i="12" s="1"/>
  <c r="S32" i="12" l="1"/>
  <c r="T32" i="12" s="1"/>
  <c r="S33" i="12" l="1"/>
  <c r="T33" i="12" s="1"/>
  <c r="S34" i="12" l="1"/>
  <c r="T34" i="12" s="1"/>
  <c r="S36" i="12" l="1"/>
  <c r="T36" i="12" s="1"/>
  <c r="S35" i="12"/>
  <c r="T35" i="12" s="1"/>
  <c r="T37" i="12" l="1"/>
  <c r="C36" i="11" s="1"/>
</calcChain>
</file>

<file path=xl/sharedStrings.xml><?xml version="1.0" encoding="utf-8"?>
<sst xmlns="http://schemas.openxmlformats.org/spreadsheetml/2006/main" count="364" uniqueCount="205">
  <si>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</si>
  <si>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</si>
  <si>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</si>
  <si>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</si>
  <si>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</si>
  <si>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</si>
  <si>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</si>
  <si>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</si>
  <si>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</si>
  <si>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</si>
  <si>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</si>
  <si>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</si>
  <si>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</si>
  <si>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</si>
  <si>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</si>
  <si>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</si>
  <si>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</si>
  <si>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</si>
  <si>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</si>
  <si>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</si>
  <si>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</si>
  <si>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</si>
  <si>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</si>
  <si>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Emissions Reduction Values:</t>
  </si>
  <si>
    <t>Base Year for Analysis</t>
  </si>
  <si>
    <t>Real Discount Rate</t>
  </si>
  <si>
    <t>Applicable Project Life</t>
  </si>
  <si>
    <t>See Texas Guide to Accepted Mobile Source Emission Reduction Strategies (MOSER), page A.8.9</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</si>
  <si>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</si>
  <si>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</si>
  <si>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</si>
  <si>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</si>
  <si>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</si>
  <si>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</si>
  <si>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</si>
  <si>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</si>
  <si>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</si>
  <si>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</si>
  <si>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</si>
  <si>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</si>
  <si>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</si>
  <si>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</si>
  <si>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</si>
  <si>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</si>
  <si>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</si>
  <si>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</si>
  <si>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</si>
  <si>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</si>
  <si>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</si>
  <si>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</si>
  <si>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</si>
  <si>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</si>
  <si>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</si>
  <si>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</si>
  <si>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</si>
  <si>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</si>
  <si>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</si>
  <si>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Safety Analysis Values:</t>
  </si>
  <si>
    <t>AIS Level</t>
  </si>
  <si>
    <t>Severity</t>
  </si>
  <si>
    <t>Fraction of VSL</t>
  </si>
  <si>
    <t>AIS 1</t>
  </si>
  <si>
    <t>Minor</t>
  </si>
  <si>
    <t>AIS 2</t>
  </si>
  <si>
    <t>Moderate</t>
  </si>
  <si>
    <t>AIS 3</t>
  </si>
  <si>
    <t>Serious</t>
  </si>
  <si>
    <t>AIS 4</t>
  </si>
  <si>
    <t>Severe</t>
  </si>
  <si>
    <t>AIS 5</t>
  </si>
  <si>
    <t>Critical</t>
  </si>
  <si>
    <t>AIS 6</t>
  </si>
  <si>
    <t>Unsurvivable</t>
  </si>
  <si>
    <t>Values for non-fatal injuries provided in "Value of Statistical Life" tab.</t>
  </si>
  <si>
    <t>2025 V/C Ratio</t>
  </si>
  <si>
    <t>2018 V/C Ratio</t>
  </si>
  <si>
    <t>2018-2025 Demand Growth</t>
  </si>
  <si>
    <t>Application ID Number:</t>
  </si>
  <si>
    <t>Sponsor ID Number (CSJ, etc.):</t>
  </si>
  <si>
    <t>Daily Travel Demand</t>
  </si>
  <si>
    <t>2018-2025 V/C Growth</t>
  </si>
  <si>
    <t>Use in Analysis?</t>
  </si>
  <si>
    <t>Demand Growth</t>
  </si>
  <si>
    <t>Benefit Cap</t>
  </si>
  <si>
    <t>Real wage growth rate</t>
  </si>
  <si>
    <t>n/a</t>
  </si>
  <si>
    <t>Benefit Results</t>
  </si>
  <si>
    <t>INPUTS</t>
  </si>
  <si>
    <t>OUTPUTS</t>
  </si>
  <si>
    <t>Death_Cnt</t>
  </si>
  <si>
    <t>Unkn_Injry_Cnt</t>
  </si>
  <si>
    <t>Non_Injry_Cnt</t>
  </si>
  <si>
    <t>Poss_Injry_Cnt</t>
  </si>
  <si>
    <t>Nonincap_Injry_Cnt</t>
  </si>
  <si>
    <t>Incap_Injry_Cnt</t>
  </si>
  <si>
    <t>AIS 0</t>
  </si>
  <si>
    <t>No Injuries</t>
  </si>
  <si>
    <t>Sum(Prob)</t>
  </si>
  <si>
    <t>CRIS Data Conversion to AIS, TIGER BCA Resource Guide (2014)</t>
  </si>
  <si>
    <t>Crash Data on Abbreviated Injury Scale (AIS)</t>
  </si>
  <si>
    <t>Sum</t>
  </si>
  <si>
    <t>Service Life (years):</t>
  </si>
  <si>
    <r>
      <t xml:space="preserve">Year Open to Traffic? </t>
    </r>
    <r>
      <rPr>
        <b/>
        <sz val="11"/>
        <color theme="1"/>
        <rFont val="Calibri"/>
        <family val="2"/>
        <scheme val="minor"/>
      </rPr>
      <t>(Must be &gt;=2021)</t>
    </r>
  </si>
  <si>
    <t>Volatile Organic Compounds (VOCs), $ / metric ton (2018 $)</t>
  </si>
  <si>
    <t>Nitrogen oxides (NOx), $ / metric ton (2018 $)</t>
  </si>
  <si>
    <t>2025-2045 Demand Growth</t>
  </si>
  <si>
    <t>2018-2045 Demand Growth</t>
  </si>
  <si>
    <t>2025-2045 V/C Growth</t>
  </si>
  <si>
    <t>2018-2045 V/C Growth</t>
  </si>
  <si>
    <t>Value of Statistical Life (VSL), 2018 $</t>
  </si>
  <si>
    <t>Value of Travel Time (VoTT), 2018 $</t>
  </si>
  <si>
    <t>Potential Value of Crash Savings (2018 $)</t>
  </si>
  <si>
    <t>Discounted Safety Benefits @ 7% (2018 $, '000s)</t>
  </si>
  <si>
    <t>Limits (From)</t>
  </si>
  <si>
    <t>Limits (To)</t>
  </si>
  <si>
    <t>County</t>
  </si>
  <si>
    <t>Harris</t>
  </si>
  <si>
    <t>Fort Bend</t>
  </si>
  <si>
    <t>Brazoria</t>
  </si>
  <si>
    <t>Galveston</t>
  </si>
  <si>
    <t>Chambers</t>
  </si>
  <si>
    <t>Liberty</t>
  </si>
  <si>
    <t>Montgomery</t>
  </si>
  <si>
    <t>Waller</t>
  </si>
  <si>
    <t>Facility Type</t>
  </si>
  <si>
    <t xml:space="preserve">Freeway </t>
  </si>
  <si>
    <t>Non-Freeway</t>
  </si>
  <si>
    <t>K</t>
  </si>
  <si>
    <t>A</t>
  </si>
  <si>
    <t>B</t>
  </si>
  <si>
    <t>C</t>
  </si>
  <si>
    <t>O</t>
  </si>
  <si>
    <t>U</t>
  </si>
  <si>
    <t>Death_Rate</t>
  </si>
  <si>
    <t>Incap_Injry_Rate</t>
  </si>
  <si>
    <t>Nonincap_Injry_Rate</t>
  </si>
  <si>
    <t>Poss_Injry_Rate</t>
  </si>
  <si>
    <t>Non_Injry_Rate</t>
  </si>
  <si>
    <t>Unkn_Injry_Rate</t>
  </si>
  <si>
    <t>Estimated Crashes per 100 million VMT</t>
  </si>
  <si>
    <t>2045 V/C Ratio</t>
  </si>
  <si>
    <t>Value of Crash Savings (2018 $, '000s)</t>
  </si>
  <si>
    <t>Freeway Crash Rates</t>
  </si>
  <si>
    <t>Non-Freeway Crash Rates</t>
  </si>
  <si>
    <t>Crash Rate</t>
  </si>
  <si>
    <t>Savings Discounted @ 7% ($ 000')</t>
  </si>
  <si>
    <t xml:space="preserve">Galveston </t>
  </si>
  <si>
    <t>Freeway VMT</t>
  </si>
  <si>
    <t>Non-Freeway VMT</t>
  </si>
  <si>
    <t>Crash</t>
  </si>
  <si>
    <t>Freeway Crashes</t>
  </si>
  <si>
    <t>Non-Freeway Crashes</t>
  </si>
  <si>
    <t>2017 Crash Rates</t>
  </si>
  <si>
    <t>Daily</t>
  </si>
  <si>
    <t>Annual</t>
  </si>
  <si>
    <t>Project Title:</t>
  </si>
  <si>
    <t>Street Name:</t>
  </si>
  <si>
    <t>Total</t>
  </si>
  <si>
    <t>GRAND TOTAL</t>
  </si>
  <si>
    <t>Proposed Improvements Information</t>
  </si>
  <si>
    <t>Estimated Volume Reduced  in Year Open to Traffic</t>
  </si>
  <si>
    <t>Estimated Daily VMT Reduced</t>
  </si>
  <si>
    <t>Annual VMT Reduced</t>
  </si>
  <si>
    <t>Estimated Travel Demand Reduced</t>
  </si>
  <si>
    <t xml:space="preserve">HGAC regional travel demand model data provided by HGAC </t>
  </si>
  <si>
    <t>2018 Call For Projects - Benefit-Cost Analysis Assumptions*</t>
  </si>
  <si>
    <t>Unit value ($2017)</t>
  </si>
  <si>
    <t>Value of Injuries, US DOT BCA Guidance for Discretionary Grant Programs (2018)</t>
  </si>
  <si>
    <t>Data entered by the sponsors</t>
  </si>
  <si>
    <t>Benefits calculated by the template</t>
  </si>
  <si>
    <t>Potential Crash Savings in year open to traffic</t>
  </si>
  <si>
    <t>Crash Savings in Year Open to Traffic</t>
  </si>
  <si>
    <t>Average One-Way Trip Length in miles</t>
  </si>
  <si>
    <t>Type of Improvement:</t>
  </si>
  <si>
    <t>Number of Days considered in a Year</t>
  </si>
  <si>
    <t>Expected Crashes Reduced</t>
  </si>
  <si>
    <t>ADA Ramps</t>
  </si>
  <si>
    <t>Off street hike &amp; bike trails</t>
  </si>
  <si>
    <t>Transit Priority Infrastructure</t>
  </si>
  <si>
    <t>Service Life</t>
  </si>
  <si>
    <t>Pedestrian/Bicycle Bridge/Underpass</t>
  </si>
  <si>
    <t>Paved Shoulder/Shared Use path</t>
  </si>
  <si>
    <t>Install new Sidewalks</t>
  </si>
  <si>
    <t>Transit facility state of good repair</t>
  </si>
  <si>
    <t>Sidewalk improvements</t>
  </si>
  <si>
    <t>On Street bicycle lane</t>
  </si>
  <si>
    <t>Transit vehicle purchase</t>
  </si>
  <si>
    <t>Populated based on selection in cell "C17"</t>
  </si>
  <si>
    <t>Type of Improvement</t>
  </si>
  <si>
    <t>Fatalities</t>
  </si>
  <si>
    <t>Suspected Serious Injuries</t>
  </si>
  <si>
    <t>Non-Incapacitating Injuries</t>
  </si>
  <si>
    <t>Possible Injuries</t>
  </si>
  <si>
    <t>Non-Injuries</t>
  </si>
  <si>
    <t>Unknown Injuries</t>
  </si>
  <si>
    <t xml:space="preserve">2018 Peak Period Traffic Volume </t>
  </si>
  <si>
    <t>2018 Peak Period Roadway Capacity</t>
  </si>
  <si>
    <t>2025 Peak Period Roadway Capacity</t>
  </si>
  <si>
    <t>2045 Peak Period Roadway apacity</t>
  </si>
  <si>
    <t>Transit Centers/Park &amp; Ride facilities</t>
  </si>
  <si>
    <t>Estimated 2025 Peak Period Traffic Volume</t>
  </si>
  <si>
    <t>Estimated 2045 Peak Period Traffic Volume</t>
  </si>
  <si>
    <t>Estimated Number of New Daily Users in Year Open to Traffic</t>
  </si>
  <si>
    <t>Conroe Pedestrian-Transit Access Improvements</t>
  </si>
  <si>
    <t>Misc.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</si>
</sst>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quot;$&quot;#,##0.00000_);[Red]\(&quot;$&quot;#,##0.00000\)"/>
  </numFmts>
  <fonts count="17"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0"/>
      <color rgb="FF00000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8" fillId="0" borderId="0" applyNumberFormat="0" applyFill="0" applyBorder="0" applyAlignment="0" applyProtection="0">
      <alignment vertical="top"/>
      <protection locked="0"/>
    </xf>
    <xf numFmtId="0" fontId="11" fillId="0" borderId="0"/>
    <xf numFmtId="0" fontId="11" fillId="0" borderId="0"/>
    <xf numFmtId="0" fontId="16" fillId="0" borderId="0"/>
  </cellStyleXfs>
  <cellXfs count="161">
    <xf numFmtId="0" fontId="0" fillId="0" borderId="0" xfId="0"/>
    <xf numFmtId="10" fontId="0" fillId="0" borderId="0" xfId="3" applyNumberFormat="1" applyFont="1"/>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7"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6" fontId="0" fillId="2" borderId="1" xfId="0" applyNumberFormat="1" applyFill="1" applyBorder="1" applyProtection="1">
      <protection locked="0"/>
    </xf>
    <xf numFmtId="0" fontId="7"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8" fontId="0" fillId="0" borderId="1" xfId="0" applyNumberFormat="1" applyBorder="1" applyAlignment="1">
      <alignment vertical="top"/>
    </xf>
    <xf numFmtId="165" fontId="0" fillId="0" borderId="1" xfId="0" applyNumberFormat="1" applyFill="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5" fontId="0" fillId="6" borderId="1" xfId="2" applyNumberFormat="1" applyFont="1" applyFill="1" applyBorder="1" applyAlignment="1" applyProtection="1">
      <alignment horizontal="center"/>
    </xf>
    <xf numFmtId="168" fontId="0" fillId="12" borderId="1" xfId="0" applyNumberFormat="1" applyFont="1" applyFill="1" applyBorder="1" applyAlignment="1" applyProtection="1">
      <alignment horizontal="center"/>
      <protection locked="0"/>
    </xf>
    <xf numFmtId="165" fontId="0" fillId="7" borderId="1" xfId="2" applyNumberFormat="1" applyFont="1" applyFill="1" applyBorder="1" applyAlignment="1" applyProtection="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0" fontId="0" fillId="11" borderId="1" xfId="3" applyNumberFormat="1" applyFont="1" applyFill="1" applyBorder="1"/>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9" fontId="0" fillId="0" borderId="1" xfId="0" applyNumberFormat="1" applyFill="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10" fontId="2" fillId="9" borderId="1" xfId="3" applyNumberFormat="1" applyFont="1" applyFill="1" applyBorder="1" applyAlignment="1">
      <alignment horizontal="center"/>
    </xf>
    <xf numFmtId="10" fontId="0" fillId="8" borderId="1" xfId="3" applyNumberFormat="1" applyFont="1" applyFill="1" applyBorder="1" applyAlignment="1">
      <alignment horizontal="center"/>
    </xf>
    <xf numFmtId="2" fontId="2" fillId="9" borderId="1" xfId="0" applyNumberFormat="1" applyFont="1" applyFill="1" applyBorder="1" applyAlignment="1">
      <alignment horizontal="center"/>
    </xf>
    <xf numFmtId="2" fontId="0" fillId="8" borderId="1" xfId="3" applyNumberFormat="1" applyFont="1" applyFill="1" applyBorder="1" applyAlignment="1">
      <alignment horizontal="center"/>
    </xf>
    <xf numFmtId="2" fontId="0" fillId="0" borderId="0" xfId="0" applyNumberFormat="1"/>
    <xf numFmtId="0" fontId="2" fillId="9" borderId="1" xfId="0" applyNumberFormat="1" applyFont="1" applyFill="1" applyBorder="1" applyAlignment="1">
      <alignment horizontal="center"/>
    </xf>
    <xf numFmtId="0" fontId="0" fillId="8" borderId="1" xfId="3" applyNumberFormat="1" applyFont="1" applyFill="1" applyBorder="1" applyAlignment="1">
      <alignment horizontal="center"/>
    </xf>
    <xf numFmtId="0" fontId="0" fillId="0" borderId="0" xfId="0" applyNumberFormat="1"/>
    <xf numFmtId="0" fontId="0" fillId="7" borderId="1" xfId="0" applyFont="1" applyFill="1" applyBorder="1" applyAlignment="1">
      <alignment horizontal="center"/>
    </xf>
    <xf numFmtId="10" fontId="0" fillId="7" borderId="1" xfId="3" applyNumberFormat="1" applyFont="1" applyFill="1" applyBorder="1" applyAlignment="1">
      <alignment horizontal="center"/>
    </xf>
    <xf numFmtId="2" fontId="0" fillId="7" borderId="1" xfId="0" applyNumberFormat="1" applyFont="1" applyFill="1" applyBorder="1" applyAlignment="1">
      <alignment horizontal="center"/>
    </xf>
    <xf numFmtId="0" fontId="0" fillId="7" borderId="1" xfId="0" applyNumberFormat="1" applyFont="1" applyFill="1" applyBorder="1" applyAlignment="1">
      <alignment horizontal="center"/>
    </xf>
    <xf numFmtId="0" fontId="0" fillId="0" borderId="1" xfId="0" applyFill="1" applyBorder="1"/>
    <xf numFmtId="170" fontId="0" fillId="0" borderId="1" xfId="3" applyNumberFormat="1" applyFont="1" applyFill="1" applyBorder="1"/>
    <xf numFmtId="3" fontId="0" fillId="7" borderId="1" xfId="0" applyNumberFormat="1" applyFont="1" applyFill="1" applyBorder="1" applyAlignment="1" applyProtection="1">
      <alignment horizontal="center"/>
    </xf>
    <xf numFmtId="0" fontId="0" fillId="0" borderId="1" xfId="0" applyFont="1" applyBorder="1"/>
    <xf numFmtId="171" fontId="0" fillId="0" borderId="1" xfId="3" applyNumberFormat="1" applyFont="1" applyBorder="1"/>
    <xf numFmtId="171" fontId="4" fillId="0" borderId="1" xfId="0" applyNumberFormat="1" applyFont="1" applyBorder="1"/>
    <xf numFmtId="4" fontId="3" fillId="0" borderId="1" xfId="0" applyNumberFormat="1" applyFont="1" applyBorder="1"/>
    <xf numFmtId="172" fontId="0" fillId="0" borderId="1" xfId="0" applyNumberFormat="1" applyBorder="1"/>
    <xf numFmtId="0" fontId="8" fillId="0" borderId="1" xfId="4" applyBorder="1" applyAlignment="1" applyProtection="1">
      <alignment horizontal="right" vertical="top" wrapText="1"/>
    </xf>
    <xf numFmtId="6" fontId="0" fillId="0" borderId="1" xfId="0" applyNumberFormat="1" applyFill="1" applyBorder="1"/>
    <xf numFmtId="6" fontId="0" fillId="0" borderId="1" xfId="0" applyNumberFormat="1" applyFill="1" applyBorder="1" applyAlignment="1">
      <alignment vertical="top"/>
    </xf>
    <xf numFmtId="0" fontId="0" fillId="0" borderId="1" xfId="0" applyNumberFormat="1" applyFill="1" applyBorder="1" applyAlignment="1">
      <alignment vertical="top"/>
    </xf>
    <xf numFmtId="166" fontId="0" fillId="0" borderId="1" xfId="0" applyNumberFormat="1" applyFill="1" applyBorder="1" applyAlignment="1">
      <alignment vertical="top"/>
    </xf>
    <xf numFmtId="8" fontId="0" fillId="0" borderId="0" xfId="0" applyNumberFormat="1"/>
    <xf numFmtId="0" fontId="0" fillId="0" borderId="0" xfId="0" applyFill="1" applyBorder="1" applyProtection="1">
      <protection locked="0"/>
    </xf>
    <xf numFmtId="0" fontId="12" fillId="13" borderId="1" xfId="5" applyFont="1" applyFill="1" applyBorder="1" applyAlignment="1">
      <alignment horizontal="center"/>
    </xf>
    <xf numFmtId="0" fontId="12" fillId="0" borderId="1" xfId="5" applyFont="1" applyFill="1" applyBorder="1" applyAlignment="1"/>
    <xf numFmtId="0" fontId="12" fillId="0" borderId="1" xfId="5" applyFont="1" applyFill="1" applyBorder="1" applyAlignment="1">
      <alignment wrapText="1"/>
    </xf>
    <xf numFmtId="0" fontId="2" fillId="0" borderId="0" xfId="0" applyFont="1" applyFill="1" applyBorder="1" applyAlignment="1"/>
    <xf numFmtId="3" fontId="6" fillId="0" borderId="0" xfId="0" applyNumberFormat="1" applyFont="1" applyFill="1" applyBorder="1" applyProtection="1">
      <protection locked="0"/>
    </xf>
    <xf numFmtId="3" fontId="0" fillId="0" borderId="0" xfId="0" applyNumberFormat="1"/>
    <xf numFmtId="166" fontId="0" fillId="0" borderId="0" xfId="0" applyNumberFormat="1"/>
    <xf numFmtId="172" fontId="0" fillId="0" borderId="6" xfId="0" applyNumberFormat="1" applyFill="1" applyBorder="1"/>
    <xf numFmtId="0" fontId="0" fillId="0" borderId="0" xfId="0" applyBorder="1"/>
    <xf numFmtId="172" fontId="0" fillId="0" borderId="0" xfId="0" applyNumberFormat="1" applyBorder="1"/>
    <xf numFmtId="3" fontId="12" fillId="0" borderId="1" xfId="5" applyNumberFormat="1" applyFont="1" applyFill="1" applyBorder="1" applyAlignment="1">
      <alignment horizontal="right"/>
    </xf>
    <xf numFmtId="0" fontId="7" fillId="0" borderId="0" xfId="0" applyFont="1" applyFill="1" applyBorder="1" applyAlignment="1">
      <alignment horizontal="center"/>
    </xf>
    <xf numFmtId="0" fontId="12" fillId="13" borderId="1" xfId="6" applyFont="1" applyFill="1" applyBorder="1" applyAlignment="1">
      <alignment horizontal="center"/>
    </xf>
    <xf numFmtId="0" fontId="12" fillId="0" borderId="1" xfId="6" applyFont="1" applyFill="1" applyBorder="1" applyAlignment="1"/>
    <xf numFmtId="0" fontId="12" fillId="0" borderId="1" xfId="6" applyFont="1" applyFill="1" applyBorder="1" applyAlignment="1">
      <alignment horizontal="right"/>
    </xf>
    <xf numFmtId="164" fontId="12" fillId="0" borderId="1" xfId="1" applyNumberFormat="1" applyFont="1" applyFill="1" applyBorder="1" applyAlignment="1">
      <alignment horizontal="right"/>
    </xf>
    <xf numFmtId="0" fontId="12" fillId="0" borderId="1" xfId="6" applyFont="1" applyFill="1" applyBorder="1" applyAlignment="1">
      <alignment horizontal="left"/>
    </xf>
    <xf numFmtId="0" fontId="13" fillId="0" borderId="1" xfId="6" applyFont="1" applyFill="1" applyBorder="1" applyAlignment="1"/>
    <xf numFmtId="164" fontId="3" fillId="0" borderId="1" xfId="0" applyNumberFormat="1" applyFont="1" applyBorder="1"/>
    <xf numFmtId="6" fontId="0" fillId="0" borderId="0" xfId="0" applyNumberFormat="1"/>
    <xf numFmtId="6" fontId="0" fillId="0" borderId="0" xfId="0" applyNumberFormat="1" applyBorder="1"/>
    <xf numFmtId="3" fontId="6" fillId="0" borderId="1" xfId="0" applyNumberFormat="1" applyFont="1" applyFill="1" applyBorder="1" applyProtection="1">
      <protection locked="0"/>
    </xf>
    <xf numFmtId="0" fontId="14" fillId="0" borderId="1" xfId="0" applyFont="1" applyFill="1" applyBorder="1" applyAlignment="1"/>
    <xf numFmtId="0" fontId="0" fillId="0" borderId="0" xfId="0" applyNumberFormat="1" applyFill="1" applyBorder="1" applyProtection="1">
      <protection locked="0"/>
    </xf>
    <xf numFmtId="173" fontId="0" fillId="0" borderId="0" xfId="0" applyNumberFormat="1"/>
    <xf numFmtId="0" fontId="0" fillId="2" borderId="1" xfId="0" applyFill="1" applyBorder="1" applyAlignment="1" applyProtection="1">
      <alignment vertical="center" wrapText="1"/>
      <protection locked="0"/>
    </xf>
    <xf numFmtId="0" fontId="2" fillId="9" borderId="7" xfId="0" applyFont="1" applyFill="1" applyBorder="1" applyAlignment="1">
      <alignment horizontal="left"/>
    </xf>
    <xf numFmtId="4" fontId="6" fillId="0" borderId="1" xfId="0" applyNumberFormat="1" applyFont="1" applyFill="1" applyBorder="1" applyProtection="1">
      <protection locked="0"/>
    </xf>
    <xf numFmtId="0" fontId="2" fillId="9" borderId="1" xfId="0" applyFont="1" applyFill="1" applyBorder="1" applyAlignment="1"/>
    <xf numFmtId="0" fontId="2" fillId="9" borderId="8" xfId="0" applyFont="1" applyFill="1" applyBorder="1" applyAlignment="1"/>
    <xf numFmtId="0" fontId="2" fillId="9" borderId="7" xfId="0" applyFont="1" applyFill="1" applyBorder="1" applyAlignment="1"/>
    <xf numFmtId="0" fontId="2" fillId="9" borderId="1" xfId="0" applyFont="1" applyFill="1" applyBorder="1"/>
    <xf numFmtId="0" fontId="0" fillId="0" borderId="0" xfId="0" applyFill="1" applyBorder="1" applyAlignment="1">
      <alignment vertical="top"/>
    </xf>
    <xf numFmtId="9" fontId="6" fillId="0" borderId="0" xfId="0" applyNumberFormat="1" applyFont="1" applyFill="1" applyBorder="1" applyAlignment="1">
      <alignment horizontal="right" vertical="top"/>
    </xf>
    <xf numFmtId="10" fontId="6" fillId="0" borderId="0" xfId="0" applyNumberFormat="1" applyFont="1" applyFill="1" applyBorder="1" applyAlignment="1">
      <alignment horizontal="right" vertical="top"/>
    </xf>
    <xf numFmtId="0" fontId="0" fillId="0" borderId="0" xfId="0" applyFont="1" applyFill="1" applyBorder="1" applyAlignment="1">
      <alignment horizontal="center"/>
    </xf>
    <xf numFmtId="10" fontId="0" fillId="0" borderId="0" xfId="3" applyNumberFormat="1" applyFont="1" applyFill="1" applyBorder="1" applyAlignment="1">
      <alignment horizontal="center"/>
    </xf>
    <xf numFmtId="165" fontId="0" fillId="0" borderId="1" xfId="0" applyNumberFormat="1" applyBorder="1"/>
    <xf numFmtId="0" fontId="2" fillId="9" borderId="1" xfId="0" applyFont="1" applyFill="1" applyBorder="1" applyAlignment="1">
      <alignment horizontal="center"/>
    </xf>
    <xf numFmtId="0" fontId="3" fillId="0" borderId="1" xfId="0" applyFont="1" applyFill="1" applyBorder="1" applyAlignment="1">
      <alignment horizontal="center"/>
    </xf>
    <xf numFmtId="165" fontId="0" fillId="7" borderId="1" xfId="2" applyNumberFormat="1" applyFont="1" applyFill="1" applyBorder="1" applyAlignment="1">
      <alignment horizontal="center"/>
    </xf>
    <xf numFmtId="10" fontId="0" fillId="0" borderId="1" xfId="3" applyNumberFormat="1" applyFont="1" applyBorder="1"/>
    <xf numFmtId="2" fontId="0" fillId="0" borderId="1" xfId="0" applyNumberFormat="1" applyBorder="1"/>
    <xf numFmtId="0" fontId="0" fillId="0" borderId="1" xfId="0" applyNumberFormat="1" applyBorder="1"/>
    <xf numFmtId="0" fontId="3" fillId="0" borderId="0" xfId="0" applyFont="1" applyBorder="1"/>
    <xf numFmtId="0" fontId="2" fillId="9" borderId="1" xfId="0" applyFont="1" applyFill="1" applyBorder="1" applyAlignment="1">
      <alignment horizontal="center" wrapText="1"/>
    </xf>
    <xf numFmtId="0" fontId="0" fillId="0" borderId="1" xfId="0" applyBorder="1" applyAlignment="1">
      <alignment horizontal="center"/>
    </xf>
    <xf numFmtId="0" fontId="3" fillId="10" borderId="1" xfId="0" applyFont="1" applyFill="1" applyBorder="1"/>
    <xf numFmtId="0" fontId="3" fillId="10" borderId="1" xfId="0" applyFont="1" applyFill="1" applyBorder="1" applyAlignment="1">
      <alignment horizontal="center"/>
    </xf>
    <xf numFmtId="0" fontId="0" fillId="0" borderId="1" xfId="0" applyFill="1" applyBorder="1" applyAlignment="1">
      <alignment horizontal="center"/>
    </xf>
    <xf numFmtId="3" fontId="0" fillId="0" borderId="1" xfId="0" applyNumberFormat="1" applyBorder="1"/>
    <xf numFmtId="0" fontId="0" fillId="2" borderId="1" xfId="0" applyFill="1" applyBorder="1" applyAlignment="1" applyProtection="1">
      <alignment wrapText="1"/>
      <protection locked="0"/>
    </xf>
    <xf numFmtId="0" fontId="0" fillId="16" borderId="1" xfId="0" applyNumberFormat="1" applyFill="1" applyBorder="1" applyProtection="1"/>
    <xf numFmtId="0" fontId="16" fillId="0" borderId="1" xfId="7" applyBorder="1"/>
    <xf numFmtId="3" fontId="0" fillId="14" borderId="1" xfId="0" applyNumberFormat="1" applyFont="1" applyFill="1" applyBorder="1" applyProtection="1">
      <protection locked="0"/>
    </xf>
    <xf numFmtId="0" fontId="10" fillId="0" borderId="4" xfId="0" applyFont="1" applyBorder="1" applyProtection="1">
      <protection locked="0"/>
    </xf>
    <xf numFmtId="0" fontId="0" fillId="0" borderId="4" xfId="0" applyBorder="1" applyProtection="1">
      <protection locked="0"/>
    </xf>
    <xf numFmtId="0" fontId="0" fillId="0" borderId="0" xfId="0" applyProtection="1">
      <protection locked="0"/>
    </xf>
    <xf numFmtId="0" fontId="0" fillId="0" borderId="0" xfId="0" applyBorder="1" applyProtection="1">
      <protection locked="0"/>
    </xf>
    <xf numFmtId="0" fontId="2" fillId="3" borderId="1" xfId="0" applyFont="1" applyFill="1" applyBorder="1" applyProtection="1">
      <protection locked="0"/>
    </xf>
    <xf numFmtId="0" fontId="0" fillId="2" borderId="1" xfId="0" applyFill="1" applyBorder="1" applyAlignment="1" applyProtection="1">
      <alignment vertical="center"/>
      <protection locked="0"/>
    </xf>
    <xf numFmtId="0" fontId="0" fillId="14" borderId="1" xfId="0" applyFill="1" applyBorder="1" applyProtection="1">
      <protection locked="0"/>
    </xf>
    <xf numFmtId="0" fontId="0" fillId="16" borderId="1" xfId="0" applyFill="1" applyBorder="1" applyProtection="1">
      <protection locked="0"/>
    </xf>
    <xf numFmtId="0" fontId="0" fillId="4" borderId="1" xfId="0" applyFill="1" applyBorder="1" applyProtection="1">
      <protection locked="0"/>
    </xf>
    <xf numFmtId="0" fontId="2" fillId="0" borderId="0" xfId="0" applyFont="1" applyFill="1" applyBorder="1" applyAlignment="1" applyProtection="1">
      <protection locked="0"/>
    </xf>
    <xf numFmtId="0" fontId="2" fillId="3" borderId="7" xfId="0" applyFont="1" applyFill="1" applyBorder="1" applyProtection="1">
      <protection locked="0"/>
    </xf>
    <xf numFmtId="2" fontId="0" fillId="0" borderId="0" xfId="0" applyNumberFormat="1" applyProtection="1">
      <protection locked="0"/>
    </xf>
    <xf numFmtId="6" fontId="0" fillId="0" borderId="0" xfId="0" applyNumberFormat="1" applyBorder="1" applyProtection="1">
      <protection locked="0"/>
    </xf>
    <xf numFmtId="6" fontId="0" fillId="0" borderId="0" xfId="0" applyNumberFormat="1" applyProtection="1">
      <protection locked="0"/>
    </xf>
    <xf numFmtId="0" fontId="0" fillId="14" borderId="1" xfId="0" applyFont="1" applyFill="1" applyBorder="1" applyProtection="1">
      <protection locked="0"/>
    </xf>
    <xf numFmtId="3" fontId="0" fillId="0" borderId="0" xfId="0" applyNumberFormat="1" applyProtection="1">
      <protection locked="0"/>
    </xf>
    <xf numFmtId="0" fontId="2" fillId="5" borderId="1" xfId="0" applyFont="1" applyFill="1" applyBorder="1" applyProtection="1">
      <protection locked="0"/>
    </xf>
    <xf numFmtId="0" fontId="0" fillId="0" borderId="5" xfId="0" applyBorder="1" applyProtection="1">
      <protection locked="0"/>
    </xf>
    <xf numFmtId="0" fontId="0" fillId="0" borderId="0" xfId="0" applyAlignment="1" applyProtection="1">
      <alignment vertical="top"/>
      <protection locked="0"/>
    </xf>
    <xf numFmtId="166" fontId="0" fillId="4" borderId="1" xfId="0" applyNumberFormat="1" applyFill="1" applyBorder="1" applyProtection="1"/>
    <xf numFmtId="0" fontId="9" fillId="3" borderId="2" xfId="0" applyFont="1" applyFill="1" applyBorder="1" applyAlignment="1">
      <alignment horizontal="center"/>
    </xf>
    <xf numFmtId="0" fontId="9" fillId="3" borderId="3" xfId="0" applyFont="1" applyFill="1" applyBorder="1" applyAlignment="1">
      <alignment horizontal="center"/>
    </xf>
    <xf numFmtId="0" fontId="15" fillId="15" borderId="1" xfId="0" applyFont="1" applyFill="1" applyBorder="1" applyAlignment="1">
      <alignment horizontal="left"/>
    </xf>
    <xf numFmtId="0" fontId="0" fillId="0" borderId="1" xfId="0" applyFont="1" applyFill="1" applyBorder="1" applyAlignment="1">
      <alignment horizontal="left"/>
    </xf>
    <xf numFmtId="0" fontId="6" fillId="0" borderId="2" xfId="0" applyFont="1" applyFill="1" applyBorder="1" applyAlignment="1">
      <alignment vertical="top"/>
    </xf>
    <xf numFmtId="0" fontId="6" fillId="0" borderId="3" xfId="0" applyFont="1" applyFill="1" applyBorder="1" applyAlignment="1">
      <alignment vertical="top"/>
    </xf>
    <xf numFmtId="0" fontId="4" fillId="0" borderId="1" xfId="0" applyFont="1" applyFill="1" applyBorder="1" applyAlignment="1">
      <alignment horizontal="center"/>
    </xf>
  </cellXfs>
  <cellStyles count="8">
    <cellStyle name="Comma" xfId="1" builtinId="3"/>
    <cellStyle name="Currency" xfId="2" builtinId="4"/>
    <cellStyle name="Hyperlink" xfId="4" builtinId="8"/>
    <cellStyle name="Normal" xfId="0" builtinId="0"/>
    <cellStyle name="Normal 2" xfId="7" xr:uid="{4B6D4E5D-52AD-4FF5-A967-80DAD2A89681}"/>
    <cellStyle name="Normal_Crashes" xfId="6" xr:uid="{00000000-0005-0000-0000-000004000000}"/>
    <cellStyle name="Normal_Sheet1" xfId="5" xr:uid="{00000000-0005-0000-0000-000005000000}"/>
    <cellStyle name="Percent" xfId="3" builtinId="5"/>
  </cellStyles>
  <dxfs count="1">
    <dxf>
      <fill>
        <patternFill>
          <bgColor rgb="FFFF61FF"/>
        </patternFill>
      </fill>
    </dxf>
  </dxfs>
  <tableStyles count="0" defaultTableStyle="TableStyleMedium9" defaultPivotStyle="PivotStyleLight16"/>
  <colors>
    <mruColors>
      <color rgb="FFC0504D"/>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612530</xdr:colOff>
      <xdr:row>0</xdr:row>
      <xdr:rowOff>106972</xdr:rowOff>
    </xdr:from>
    <xdr:to>
      <xdr:col>8</xdr:col>
      <xdr:colOff>534865</xdr:colOff>
      <xdr:row>53</xdr:row>
      <xdr:rowOff>139211</xdr:rowOff>
    </xdr:to>
    <xdr:sp macro="" textlink="">
      <xdr:nvSpPr>
        <xdr:cNvPr id="1025" name="Text Box 2">
          <a:extLst>
            <a:ext uri="{FF2B5EF4-FFF2-40B4-BE49-F238E27FC236}">
              <a16:creationId xmlns:a16="http://schemas.microsoft.com/office/drawing/2014/main" id="{00000000-0008-0000-0000-000001040000}"/>
            </a:ext>
          </a:extLst>
        </xdr:cNvPr>
        <xdr:cNvSpPr txBox="1">
          <a:spLocks noChangeArrowheads="1"/>
        </xdr:cNvSpPr>
      </xdr:nvSpPr>
      <xdr:spPr bwMode="auto">
        <a:xfrm>
          <a:off x="612530" y="106972"/>
          <a:ext cx="8516816" cy="10128739"/>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gn="l" rtl="0">
            <a:lnSpc>
              <a:spcPct val="150000"/>
            </a:lnSpc>
            <a:defRPr sz="1000"/>
          </a:pPr>
          <a:r>
            <a:rPr lang="en-US" sz="1100" b="1" i="0" u="none" strike="noStrike" baseline="0">
              <a:solidFill>
                <a:schemeClr val="bg1"/>
              </a:solidFill>
              <a:latin typeface="+mn-lt"/>
            </a:rPr>
            <a:t>Instructions: </a:t>
          </a:r>
          <a:endParaRPr lang="en-US" sz="1100" b="0" i="0" u="none" strike="noStrike" baseline="0">
            <a:solidFill>
              <a:schemeClr val="bg1"/>
            </a:solidFill>
            <a:latin typeface="+mn-lt"/>
            <a:cs typeface="Times New Roman"/>
          </a:endParaRPr>
        </a:p>
        <a:p>
          <a:pPr algn="l" rtl="0">
            <a:lnSpc>
              <a:spcPct val="150000"/>
            </a:lnSpc>
            <a:defRPr sz="1000"/>
          </a:pPr>
          <a:r>
            <a:rPr lang="en-US" sz="1100" b="0" i="0" u="none" strike="noStrike" baseline="0">
              <a:solidFill>
                <a:schemeClr val="bg1"/>
              </a:solidFill>
              <a:latin typeface="+mn-lt"/>
            </a:rPr>
            <a:t>1. On the "Inputs &amp; Outputs" tab, fill in all "blue" shaded sections (Project Information, Proposed Improvement Information and Daily Travel Demand). </a:t>
          </a:r>
        </a:p>
        <a:p>
          <a:pPr marL="628650" lvl="1"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Project Information:</a:t>
          </a:r>
        </a:p>
        <a:p>
          <a:pPr marL="1085850" lvl="2"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County: </a:t>
          </a:r>
          <a:r>
            <a:rPr lang="en-US" sz="1100">
              <a:solidFill>
                <a:schemeClr val="bg1"/>
              </a:solidFill>
              <a:effectLst/>
              <a:latin typeface="+mn-lt"/>
              <a:ea typeface="+mn-ea"/>
              <a:cs typeface="+mn-cs"/>
            </a:rPr>
            <a:t>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sz="1100" b="0" i="0" u="none" strike="noStrike" baseline="0">
            <a:solidFill>
              <a:schemeClr val="bg1"/>
            </a:solidFill>
            <a:latin typeface="+mn-lt"/>
            <a:cs typeface="Arial"/>
          </a:endParaRPr>
        </a:p>
        <a:p>
          <a:pPr marL="1085850" marR="0" lvl="2" indent="-171450" algn="l" defTabSz="914400" rtl="0" eaLnBrk="1" fontAlgn="auto" latinLnBrk="0" hangingPunct="1">
            <a:lnSpc>
              <a:spcPct val="150000"/>
            </a:lnSpc>
            <a:spcBef>
              <a:spcPts val="0"/>
            </a:spcBef>
            <a:spcAft>
              <a:spcPts val="0"/>
            </a:spcAft>
            <a:buClrTx/>
            <a:buSzTx/>
            <a:buFont typeface="Arial" panose="020B0604020202020204" pitchFamily="34" charset="0"/>
            <a:buChar char="•"/>
            <a:tabLst/>
            <a:defRPr sz="1000"/>
          </a:pPr>
          <a:r>
            <a:rPr lang="en-US" sz="1100" b="0" i="0" u="none" strike="noStrike" baseline="0">
              <a:solidFill>
                <a:schemeClr val="bg1"/>
              </a:solidFill>
              <a:latin typeface="+mn-lt"/>
              <a:cs typeface="Arial"/>
            </a:rPr>
            <a:t>Facility Type: </a:t>
          </a:r>
          <a:r>
            <a:rPr lang="en-US" sz="1100">
              <a:solidFill>
                <a:schemeClr val="bg1"/>
              </a:solidFill>
              <a:effectLst/>
              <a:latin typeface="+mn-lt"/>
              <a:ea typeface="+mn-ea"/>
              <a:cs typeface="+mn-cs"/>
            </a:rPr>
            <a:t>Please click the drop-down arrow  on cell C8 to select the facility type of the proposed project.</a:t>
          </a:r>
        </a:p>
        <a:p>
          <a:pPr marL="1085850" marR="0" lvl="2" indent="-171450" algn="l" defTabSz="914400" rtl="0" eaLnBrk="1" fontAlgn="auto" latinLnBrk="0" hangingPunct="1">
            <a:lnSpc>
              <a:spcPct val="150000"/>
            </a:lnSpc>
            <a:spcBef>
              <a:spcPts val="0"/>
            </a:spcBef>
            <a:spcAft>
              <a:spcPts val="0"/>
            </a:spcAft>
            <a:buClrTx/>
            <a:buSzTx/>
            <a:buFont typeface="Arial" panose="020B0604020202020204" pitchFamily="34" charset="0"/>
            <a:buChar char="•"/>
            <a:tabLst/>
            <a:defRPr sz="1000"/>
          </a:pPr>
          <a:r>
            <a:rPr lang="en-US" sz="1100" b="0" i="0" u="none" strike="noStrike" baseline="0">
              <a:solidFill>
                <a:schemeClr val="bg1"/>
              </a:solidFill>
              <a:latin typeface="+mn-lt"/>
              <a:cs typeface="Arial"/>
            </a:rPr>
            <a:t>For transit projects, please select the facility type of the roadway that is used for the proposed transit service.  For active transportation projects please select the facility type of the roadway to which the proposed project provides an alternative transportation choice</a:t>
          </a:r>
        </a:p>
        <a:p>
          <a:pPr marL="628650" lvl="1"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Proposed Improvement Information:</a:t>
          </a:r>
        </a:p>
        <a:p>
          <a:pPr marL="1085850" lvl="2"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Year Open to Traffic?: Must be &gt;=2021. </a:t>
          </a:r>
          <a:r>
            <a:rPr lang="en-US" sz="1100">
              <a:solidFill>
                <a:schemeClr val="bg1"/>
              </a:solidFill>
              <a:effectLst/>
              <a:latin typeface="+mn-lt"/>
              <a:ea typeface="+mn-ea"/>
              <a:cs typeface="+mn-cs"/>
            </a:rPr>
            <a:t>Please click the drop-down arrow on cell C16 to select the year</a:t>
          </a:r>
          <a:r>
            <a:rPr lang="en-US" sz="1100" baseline="0">
              <a:solidFill>
                <a:schemeClr val="bg1"/>
              </a:solidFill>
              <a:effectLst/>
              <a:latin typeface="+mn-lt"/>
              <a:ea typeface="+mn-ea"/>
              <a:cs typeface="+mn-cs"/>
            </a:rPr>
            <a:t> Open to Traffic</a:t>
          </a:r>
          <a:endParaRPr lang="en-US" sz="1100" b="0" i="0" u="none" strike="noStrike" baseline="0">
            <a:solidFill>
              <a:schemeClr val="bg1"/>
            </a:solidFill>
            <a:latin typeface="+mn-lt"/>
            <a:cs typeface="Times New Roman"/>
          </a:endParaRPr>
        </a:p>
        <a:p>
          <a:pPr marL="1085850" lvl="2"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Type of Improvement: </a:t>
          </a:r>
          <a:r>
            <a:rPr lang="en-US" sz="1000" baseline="0">
              <a:solidFill>
                <a:schemeClr val="bg1"/>
              </a:solidFill>
              <a:effectLst/>
              <a:latin typeface="+mn-lt"/>
              <a:ea typeface="+mn-ea"/>
              <a:cs typeface="+mn-cs"/>
            </a:rPr>
            <a:t>Please click the drop-down arrow on cell C17 to select the type of improvement (project type) proposed from dropdown list.</a:t>
          </a:r>
          <a:r>
            <a:rPr lang="en-US" sz="1000">
              <a:solidFill>
                <a:schemeClr val="bg1"/>
              </a:solidFill>
              <a:effectLst/>
              <a:latin typeface="+mn-lt"/>
              <a:ea typeface="+mn-ea"/>
              <a:cs typeface="+mn-cs"/>
            </a:rPr>
            <a:t> </a:t>
          </a:r>
          <a:r>
            <a:rPr lang="en-US" sz="1100" b="0" i="0" u="none" strike="noStrike" baseline="0">
              <a:solidFill>
                <a:schemeClr val="bg1"/>
              </a:solidFill>
              <a:latin typeface="+mn-lt"/>
              <a:cs typeface="Arial"/>
            </a:rPr>
            <a:t>•Service Life (Years): Service life of project is populated based on the selection in cell C17 </a:t>
          </a:r>
          <a:endParaRPr lang="en-US" sz="1100" b="0" i="0" u="none" strike="noStrike" baseline="0">
            <a:solidFill>
              <a:schemeClr val="bg1"/>
            </a:solidFill>
            <a:latin typeface="+mn-lt"/>
            <a:cs typeface="Times New Roman"/>
          </a:endParaRPr>
        </a:p>
        <a:p>
          <a:pPr marL="628650" lvl="1"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Daily Travel Demand:</a:t>
          </a:r>
        </a:p>
        <a:p>
          <a:pPr marL="1085850" lvl="2"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Estimated Number of New Daily Users: Please enter estimated number of new daily users in cell C22 </a:t>
          </a:r>
        </a:p>
        <a:p>
          <a:pPr marL="1085850" lvl="2"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Average One-Way Trip Length in miles: Please enter average active transportation or transit one-way trip length in cell C23</a:t>
          </a:r>
        </a:p>
        <a:p>
          <a:pPr marL="914400" marR="0" lvl="2" indent="0" algn="l" defTabSz="914400" rtl="0" eaLnBrk="1" fontAlgn="auto" latinLnBrk="0" hangingPunct="1">
            <a:lnSpc>
              <a:spcPct val="150000"/>
            </a:lnSpc>
            <a:spcBef>
              <a:spcPts val="0"/>
            </a:spcBef>
            <a:spcAft>
              <a:spcPts val="0"/>
            </a:spcAft>
            <a:buClrTx/>
            <a:buSzTx/>
            <a:buFontTx/>
            <a:buNone/>
            <a:tabLst/>
            <a:defRPr sz="1000"/>
          </a:pPr>
          <a:endParaRPr lang="en-US" sz="1100" b="1" i="0" baseline="0">
            <a:solidFill>
              <a:schemeClr val="bg1"/>
            </a:solidFill>
            <a:effectLst/>
            <a:latin typeface="+mn-lt"/>
            <a:ea typeface="+mn-ea"/>
            <a:cs typeface="+mn-cs"/>
          </a:endParaRPr>
        </a:p>
        <a:p>
          <a:pPr marL="914400" marR="0" lvl="2" indent="0" algn="l" defTabSz="914400" rtl="0" eaLnBrk="1" fontAlgn="auto" latinLnBrk="0" hangingPunct="1">
            <a:lnSpc>
              <a:spcPct val="150000"/>
            </a:lnSpc>
            <a:spcBef>
              <a:spcPts val="0"/>
            </a:spcBef>
            <a:spcAft>
              <a:spcPts val="0"/>
            </a:spcAft>
            <a:buClrTx/>
            <a:buSzTx/>
            <a:buFontTx/>
            <a:buNone/>
            <a:tabLst/>
            <a:defRPr sz="1000"/>
          </a:pPr>
          <a:r>
            <a:rPr lang="en-US" sz="1100" b="1" i="0" baseline="0">
              <a:solidFill>
                <a:schemeClr val="bg1"/>
              </a:solidFill>
              <a:effectLst/>
              <a:latin typeface="+mn-lt"/>
              <a:ea typeface="+mn-ea"/>
              <a:cs typeface="+mn-cs"/>
            </a:rPr>
            <a:t>For transit projects, please enter the daily travel demand data of the roadway  that is used for the proposed transit service.  For active transportation projects, please enter the daily travel demand data of the roadway to which the proposed project provides an alternative transportation choice</a:t>
          </a:r>
          <a:endParaRPr lang="en-US" sz="1100" b="1">
            <a:solidFill>
              <a:schemeClr val="bg1"/>
            </a:solidFill>
            <a:effectLst/>
          </a:endParaRPr>
        </a:p>
        <a:p>
          <a:pPr lvl="2" algn="l" rtl="0">
            <a:lnSpc>
              <a:spcPct val="150000"/>
            </a:lnSpc>
            <a:defRPr sz="1000"/>
          </a:pPr>
          <a:endParaRPr lang="en-US" sz="1100" b="0" i="0" u="none" strike="noStrike" baseline="0">
            <a:solidFill>
              <a:schemeClr val="bg1"/>
            </a:solidFill>
            <a:latin typeface="+mn-lt"/>
            <a:cs typeface="Times New Roman"/>
          </a:endParaRPr>
        </a:p>
        <a:p>
          <a:pPr marL="1085850" lvl="2"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2018 Peak Period Traffic Volume (both directions): </a:t>
          </a:r>
          <a:r>
            <a:rPr lang="en-US" sz="1000">
              <a:solidFill>
                <a:schemeClr val="bg1"/>
              </a:solidFill>
              <a:effectLst/>
              <a:latin typeface="+mn-lt"/>
              <a:ea typeface="+mn-ea"/>
              <a:cs typeface="+mn-cs"/>
            </a:rPr>
            <a:t>Please enter peak period traffic volume data (6AM – 9AM + 3PM – 7PM) in cell C26.</a:t>
          </a:r>
          <a:r>
            <a:rPr lang="en-US" sz="1000" baseline="0">
              <a:solidFill>
                <a:schemeClr val="bg1"/>
              </a:solidFill>
              <a:effectLst/>
              <a:latin typeface="+mn-lt"/>
              <a:ea typeface="+mn-ea"/>
              <a:cs typeface="+mn-cs"/>
            </a:rPr>
            <a:t> </a:t>
          </a:r>
          <a:r>
            <a:rPr lang="en-US" sz="1000">
              <a:solidFill>
                <a:schemeClr val="bg1"/>
              </a:solidFill>
              <a:effectLst/>
              <a:latin typeface="+mn-lt"/>
              <a:ea typeface="+mn-ea"/>
              <a:cs typeface="+mn-cs"/>
            </a:rPr>
            <a:t> </a:t>
          </a:r>
          <a:r>
            <a:rPr lang="en-US" sz="1100" b="0" i="0" u="none" strike="noStrike" baseline="0">
              <a:solidFill>
                <a:schemeClr val="bg1"/>
              </a:solidFill>
              <a:latin typeface="+mn-lt"/>
              <a:cs typeface="Arial"/>
            </a:rPr>
            <a:t>Sponsors may enter the peak period volume form sponsor collected traffic count data or may request 2018 HGAC’s regional model peak period volumes</a:t>
          </a:r>
        </a:p>
        <a:p>
          <a:pPr marL="1085850" lvl="2" indent="-171450" algn="l" rtl="0">
            <a:lnSpc>
              <a:spcPct val="150000"/>
            </a:lnSpc>
            <a:buFont typeface="Arial" panose="020B0604020202020204" pitchFamily="34" charset="0"/>
            <a:buChar char="•"/>
            <a:defRPr sz="1000"/>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C27.  </a:t>
          </a:r>
          <a:r>
            <a:rPr lang="en-US" sz="1100">
              <a:solidFill>
                <a:schemeClr val="bg1"/>
              </a:solidFill>
              <a:effectLst/>
              <a:latin typeface="+mn-lt"/>
              <a:ea typeface="+mn-ea"/>
              <a:cs typeface="+mn-cs"/>
            </a:rPr>
            <a:t>Sponsors may request 2018 HGAC’s regional model peak period capacity</a:t>
          </a:r>
        </a:p>
        <a:p>
          <a:pPr marL="1085850" lvl="2" indent="-171450" algn="l" rtl="0">
            <a:lnSpc>
              <a:spcPct val="150000"/>
            </a:lnSpc>
            <a:buFont typeface="Arial" panose="020B0604020202020204" pitchFamily="34" charset="0"/>
            <a:buChar char="•"/>
            <a:defRPr sz="1000"/>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C28.</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1085850" lvl="2" indent="-171450" algn="l" rtl="0">
            <a:lnSpc>
              <a:spcPct val="150000"/>
            </a:lnSpc>
            <a:buFont typeface="Arial" panose="020B0604020202020204" pitchFamily="34" charset="0"/>
            <a:buChar char="•"/>
            <a:defRPr sz="1000"/>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1085850" lvl="2" indent="-171450" algn="l" rtl="0">
            <a:lnSpc>
              <a:spcPct val="150000"/>
            </a:lnSpc>
            <a:buFont typeface="Arial" panose="020B0604020202020204" pitchFamily="34" charset="0"/>
            <a:buChar char="•"/>
            <a:defRPr sz="1000"/>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1085850" lvl="2" indent="-171450" algn="l" rtl="0">
            <a:lnSpc>
              <a:spcPct val="150000"/>
            </a:lnSpc>
            <a:buFont typeface="Arial" panose="020B0604020202020204" pitchFamily="34" charset="0"/>
            <a:buChar char="•"/>
            <a:defRPr sz="1000"/>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endParaRPr lang="en-US" sz="1100">
            <a:solidFill>
              <a:schemeClr val="bg1"/>
            </a:solidFill>
            <a:effectLst/>
          </a:endParaRPr>
        </a:p>
        <a:p>
          <a:pPr lvl="2" algn="l" rtl="0">
            <a:lnSpc>
              <a:spcPct val="150000"/>
            </a:lnSpc>
            <a:defRPr sz="1000"/>
          </a:pPr>
          <a:endParaRPr lang="en-US" sz="1100" b="0" i="0" u="none" strike="noStrike" baseline="0">
            <a:solidFill>
              <a:schemeClr val="bg1"/>
            </a:solidFill>
            <a:latin typeface="+mn-lt"/>
            <a:cs typeface="Arial"/>
          </a:endParaRPr>
        </a:p>
        <a:p>
          <a:pPr>
            <a:lnSpc>
              <a:spcPct val="150000"/>
            </a:lnSpc>
          </a:pPr>
          <a:r>
            <a:rPr lang="en-US" sz="1100">
              <a:solidFill>
                <a:schemeClr val="bg1"/>
              </a:solidFill>
              <a:effectLst/>
              <a:latin typeface="+mn-lt"/>
              <a:ea typeface="+mn-ea"/>
              <a:cs typeface="+mn-cs"/>
            </a:rPr>
            <a:t>2. Results will be populated in "red" shaded section ("Benefit Results")</a:t>
          </a: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mn-lt"/>
            <a:cs typeface="Arial"/>
          </a:endParaRPr>
        </a:p>
        <a:p>
          <a:pPr algn="l" rtl="0">
            <a:defRPr sz="1000"/>
          </a:pPr>
          <a:endParaRPr lang="en-US" sz="1100" b="0" i="0" u="none" strike="noStrike" baseline="0">
            <a:solidFill>
              <a:srgbClr val="000000"/>
            </a:solidFill>
            <a:latin typeface="+mn-lt"/>
            <a:cs typeface="Times New Roman"/>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7620</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7620</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19050</xdr:colOff>
      <xdr:row>31</xdr:row>
      <xdr:rowOff>28575</xdr:rowOff>
    </xdr:from>
    <xdr:to>
      <xdr:col>3</xdr:col>
      <xdr:colOff>76200</xdr:colOff>
      <xdr:row>37</xdr:row>
      <xdr:rowOff>114300</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47650" y="250507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zoomScale="130" zoomScaleNormal="130" workbookViewId="0">
      <selection activeCell="J17" sqref="J17"/>
    </sheetView>
  </sheetViews>
  <sheetFormatPr defaultRowHeight="14.4" x14ac:dyDescent="0.3"/>
  <cols>
    <col min="1" max="1" width="45.109375" bestFit="1" customWidth="1"/>
    <col min="2" max="2" width="12.5546875" customWidth="1"/>
    <col min="3" max="3" width="5.33203125" customWidth="1"/>
    <col min="4" max="4" width="23.5546875" customWidth="1"/>
    <col min="5" max="5" width="15.33203125" bestFit="1" customWidth="1"/>
    <col min="6" max="6" width="13.33203125" customWidth="1"/>
    <col min="7" max="7" width="4.5546875" customWidth="1"/>
  </cols>
  <sheetData>
    <row r="7" spans="1:1" x14ac:dyDescent="0.3">
      <c r="A7" s="26"/>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4.4" x14ac:dyDescent="0.3"/>
  <cols>
    <col min="1" max="1" width="38.88671875" customWidth="1"/>
    <col min="2" max="2" width="12.5546875" customWidth="1"/>
    <col min="3" max="3" width="5.33203125" customWidth="1"/>
    <col min="4" max="4" width="33.5546875" bestFit="1" customWidth="1"/>
    <col min="5" max="5" width="13.33203125" customWidth="1"/>
    <col min="6" max="6" width="4.5546875" customWidth="1"/>
    <col min="8" max="8" width="2.109375" hidden="1" customWidth="1"/>
    <col min="9" max="9" width="18.6640625" bestFit="1" customWidth="1"/>
    <col min="10" max="10" width="38.33203125" bestFit="1" customWidth="1"/>
  </cols>
  <sheetData>
    <row r="3" spans="1:10" x14ac:dyDescent="0.3">
      <c r="A3" s="7" t="s">
        <v>0</v>
      </c>
      <c r="D3" s="7" t="s">
        <v>19</v>
      </c>
      <c r="E3" s="8" t="s">
        <v>9</v>
      </c>
      <c r="G3" s="14" t="s">
        <v>13</v>
      </c>
      <c r="H3" s="14"/>
      <c r="I3" s="14" t="s">
        <v>20</v>
      </c>
      <c r="J3" s="14" t="s">
        <v>49</v>
      </c>
    </row>
    <row r="4" spans="1:10" x14ac:dyDescent="0.3">
      <c r="A4" s="5" t="s">
        <v>5</v>
      </c>
      <c r="B4" s="6"/>
      <c r="D4" s="5" t="s">
        <v>46</v>
      </c>
      <c r="E4" s="47">
        <v>2015</v>
      </c>
      <c r="G4" s="12">
        <f>E4</f>
        <v>2015</v>
      </c>
      <c r="H4" s="12">
        <f>IF(G4&lt;2041,1,0)</f>
        <v>1</v>
      </c>
      <c r="I4" s="22">
        <f>IF($G4&lt;($G$4+$E$5),$E$17,0)*H4</f>
        <v>0</v>
      </c>
      <c r="J4" s="35" t="e">
        <f>I4*$B$18*$B$19/10^3</f>
        <v>#REF!</v>
      </c>
    </row>
    <row r="5" spans="1:10" x14ac:dyDescent="0.3">
      <c r="A5" s="5" t="s">
        <v>6</v>
      </c>
      <c r="B5" s="6"/>
      <c r="D5" s="5" t="s">
        <v>36</v>
      </c>
      <c r="E5" s="9">
        <v>10</v>
      </c>
      <c r="G5" s="13">
        <f t="shared" ref="G5:G29" si="0">G4+1</f>
        <v>2016</v>
      </c>
      <c r="H5" s="13">
        <f t="shared" ref="H5:H29" si="1">IF(G5&lt;2041,1,0)</f>
        <v>1</v>
      </c>
      <c r="I5" s="22">
        <f t="shared" ref="I5:I29" si="2">IF($G5&lt;($G$4+$E$5),$E$17,0)*H5</f>
        <v>0</v>
      </c>
      <c r="J5" s="42" t="e">
        <f t="shared" ref="J5:J24" si="3">I5*$B$18*$B$19/10^3</f>
        <v>#REF!</v>
      </c>
    </row>
    <row r="6" spans="1:10" x14ac:dyDescent="0.3">
      <c r="A6" s="5" t="s">
        <v>7</v>
      </c>
      <c r="B6" s="6">
        <v>1</v>
      </c>
      <c r="D6" s="154" t="s">
        <v>34</v>
      </c>
      <c r="E6" s="155"/>
      <c r="G6" s="12">
        <f t="shared" si="0"/>
        <v>2017</v>
      </c>
      <c r="H6" s="12">
        <f t="shared" si="1"/>
        <v>1</v>
      </c>
      <c r="I6" s="22">
        <f t="shared" si="2"/>
        <v>0</v>
      </c>
      <c r="J6" s="35" t="e">
        <f t="shared" si="3"/>
        <v>#REF!</v>
      </c>
    </row>
    <row r="7" spans="1:10" x14ac:dyDescent="0.3">
      <c r="A7" s="5" t="s">
        <v>47</v>
      </c>
      <c r="B7" s="24"/>
      <c r="D7" s="5" t="s">
        <v>44</v>
      </c>
      <c r="E7" s="9"/>
      <c r="G7" s="13">
        <f t="shared" si="0"/>
        <v>2018</v>
      </c>
      <c r="H7" s="13">
        <f t="shared" si="1"/>
        <v>1</v>
      </c>
      <c r="I7" s="22">
        <f t="shared" si="2"/>
        <v>0</v>
      </c>
      <c r="J7" s="42" t="e">
        <f t="shared" si="3"/>
        <v>#REF!</v>
      </c>
    </row>
    <row r="8" spans="1:10" x14ac:dyDescent="0.3">
      <c r="A8" s="23" t="s">
        <v>48</v>
      </c>
      <c r="B8" s="24"/>
      <c r="D8" s="5" t="s">
        <v>42</v>
      </c>
      <c r="E8" s="46">
        <v>1.1499999999999999</v>
      </c>
      <c r="G8" s="12">
        <f t="shared" si="0"/>
        <v>2019</v>
      </c>
      <c r="H8" s="12">
        <f t="shared" si="1"/>
        <v>1</v>
      </c>
      <c r="I8" s="22">
        <f t="shared" si="2"/>
        <v>0</v>
      </c>
      <c r="J8" s="35" t="e">
        <f t="shared" si="3"/>
        <v>#REF!</v>
      </c>
    </row>
    <row r="9" spans="1:10" x14ac:dyDescent="0.3">
      <c r="G9" s="13">
        <f t="shared" si="0"/>
        <v>2020</v>
      </c>
      <c r="H9" s="13">
        <f t="shared" si="1"/>
        <v>1</v>
      </c>
      <c r="I9" s="22">
        <f t="shared" si="2"/>
        <v>0</v>
      </c>
      <c r="J9" s="42" t="e">
        <f t="shared" si="3"/>
        <v>#REF!</v>
      </c>
    </row>
    <row r="10" spans="1:10" x14ac:dyDescent="0.3">
      <c r="A10" s="11" t="s">
        <v>18</v>
      </c>
      <c r="G10" s="12">
        <f t="shared" si="0"/>
        <v>2021</v>
      </c>
      <c r="H10" s="12">
        <f t="shared" si="1"/>
        <v>1</v>
      </c>
      <c r="I10" s="22">
        <f t="shared" si="2"/>
        <v>0</v>
      </c>
      <c r="J10" s="35" t="e">
        <f t="shared" si="3"/>
        <v>#REF!</v>
      </c>
    </row>
    <row r="11" spans="1:10" x14ac:dyDescent="0.3">
      <c r="A11" s="10" t="s">
        <v>45</v>
      </c>
      <c r="B11" s="44" t="e">
        <f>NPV($B$17,J4:J29)/(1+$B$17)^(E4-B16+1)</f>
        <v>#REF!</v>
      </c>
      <c r="G11" s="13">
        <f t="shared" si="0"/>
        <v>2022</v>
      </c>
      <c r="H11" s="13">
        <f t="shared" si="1"/>
        <v>1</v>
      </c>
      <c r="I11" s="22">
        <f t="shared" si="2"/>
        <v>0</v>
      </c>
      <c r="J11" s="42" t="e">
        <f t="shared" si="3"/>
        <v>#REF!</v>
      </c>
    </row>
    <row r="12" spans="1:10" x14ac:dyDescent="0.3">
      <c r="A12" s="10" t="s">
        <v>17</v>
      </c>
      <c r="B12" s="41" t="e">
        <f>B11/B7</f>
        <v>#REF!</v>
      </c>
      <c r="G12" s="12">
        <f t="shared" si="0"/>
        <v>2023</v>
      </c>
      <c r="H12" s="12">
        <f t="shared" si="1"/>
        <v>1</v>
      </c>
      <c r="I12" s="22">
        <f t="shared" si="2"/>
        <v>0</v>
      </c>
      <c r="J12" s="35" t="e">
        <f t="shared" si="3"/>
        <v>#REF!</v>
      </c>
    </row>
    <row r="13" spans="1:10" x14ac:dyDescent="0.3">
      <c r="G13" s="13">
        <f t="shared" si="0"/>
        <v>2024</v>
      </c>
      <c r="H13" s="13">
        <f t="shared" si="1"/>
        <v>1</v>
      </c>
      <c r="I13" s="22">
        <f t="shared" si="2"/>
        <v>0</v>
      </c>
      <c r="J13" s="42" t="e">
        <f t="shared" si="3"/>
        <v>#REF!</v>
      </c>
    </row>
    <row r="14" spans="1:10" x14ac:dyDescent="0.3">
      <c r="G14" s="12">
        <f>G13+1</f>
        <v>2025</v>
      </c>
      <c r="H14" s="12">
        <f t="shared" si="1"/>
        <v>1</v>
      </c>
      <c r="I14" s="22">
        <f t="shared" si="2"/>
        <v>0</v>
      </c>
      <c r="J14" s="35" t="e">
        <f t="shared" si="3"/>
        <v>#REF!</v>
      </c>
    </row>
    <row r="15" spans="1:10" x14ac:dyDescent="0.3">
      <c r="A15" s="15" t="s">
        <v>1</v>
      </c>
      <c r="G15" s="13">
        <f t="shared" si="0"/>
        <v>2026</v>
      </c>
      <c r="H15" s="13">
        <f t="shared" si="1"/>
        <v>1</v>
      </c>
      <c r="I15" s="22">
        <f t="shared" si="2"/>
        <v>0</v>
      </c>
      <c r="J15" s="42" t="e">
        <f t="shared" si="3"/>
        <v>#REF!</v>
      </c>
    </row>
    <row r="16" spans="1:10" x14ac:dyDescent="0.3">
      <c r="A16" s="16" t="s">
        <v>2</v>
      </c>
      <c r="B16" s="27">
        <f>'Assumed Values'!C5</f>
        <v>2018</v>
      </c>
      <c r="D16" s="15" t="s">
        <v>15</v>
      </c>
      <c r="E16" s="25" t="s">
        <v>9</v>
      </c>
      <c r="G16" s="12">
        <f t="shared" si="0"/>
        <v>2027</v>
      </c>
      <c r="H16" s="12">
        <f t="shared" si="1"/>
        <v>1</v>
      </c>
      <c r="I16" s="22">
        <f t="shared" si="2"/>
        <v>0</v>
      </c>
      <c r="J16" s="35" t="e">
        <f t="shared" si="3"/>
        <v>#REF!</v>
      </c>
    </row>
    <row r="17" spans="1:10" x14ac:dyDescent="0.3">
      <c r="A17" s="16" t="s">
        <v>3</v>
      </c>
      <c r="B17" s="17">
        <f>'Assumed Values'!C6</f>
        <v>7.0000000000000007E-2</v>
      </c>
      <c r="D17" s="19" t="s">
        <v>43</v>
      </c>
      <c r="E17" s="20">
        <f>E7/E8</f>
        <v>0</v>
      </c>
      <c r="G17" s="13">
        <f t="shared" si="0"/>
        <v>2028</v>
      </c>
      <c r="H17" s="13">
        <f t="shared" si="1"/>
        <v>1</v>
      </c>
      <c r="I17" s="22">
        <f t="shared" si="2"/>
        <v>0</v>
      </c>
      <c r="J17" s="42" t="e">
        <f t="shared" si="3"/>
        <v>#REF!</v>
      </c>
    </row>
    <row r="18" spans="1:10" x14ac:dyDescent="0.3">
      <c r="A18" s="16" t="s">
        <v>4</v>
      </c>
      <c r="B18" s="16">
        <f>IF(B6=2,2.1, 1.1)</f>
        <v>1.1000000000000001</v>
      </c>
      <c r="G18" s="12">
        <f t="shared" si="0"/>
        <v>2029</v>
      </c>
      <c r="H18" s="12">
        <f t="shared" si="1"/>
        <v>1</v>
      </c>
      <c r="I18" s="22">
        <f t="shared" si="2"/>
        <v>0</v>
      </c>
      <c r="J18" s="35" t="e">
        <f t="shared" si="3"/>
        <v>#REF!</v>
      </c>
    </row>
    <row r="19" spans="1:10" x14ac:dyDescent="0.3">
      <c r="A19" s="16" t="s">
        <v>8</v>
      </c>
      <c r="B19" s="18" t="e">
        <f>'Assumed Values'!C15</f>
        <v>#REF!</v>
      </c>
      <c r="G19" s="13">
        <f t="shared" si="0"/>
        <v>2030</v>
      </c>
      <c r="H19" s="13">
        <f t="shared" si="1"/>
        <v>1</v>
      </c>
      <c r="I19" s="22">
        <f t="shared" si="2"/>
        <v>0</v>
      </c>
      <c r="J19" s="42" t="e">
        <f t="shared" si="3"/>
        <v>#REF!</v>
      </c>
    </row>
    <row r="20" spans="1:10" x14ac:dyDescent="0.3">
      <c r="A20" s="16" t="s">
        <v>16</v>
      </c>
      <c r="B20" s="16">
        <v>260</v>
      </c>
      <c r="G20" s="12">
        <f t="shared" si="0"/>
        <v>2031</v>
      </c>
      <c r="H20" s="12">
        <f t="shared" si="1"/>
        <v>1</v>
      </c>
      <c r="I20" s="22">
        <f t="shared" si="2"/>
        <v>0</v>
      </c>
      <c r="J20" s="35" t="e">
        <f t="shared" si="3"/>
        <v>#REF!</v>
      </c>
    </row>
    <row r="21" spans="1:10" x14ac:dyDescent="0.3">
      <c r="G21" s="13">
        <f t="shared" si="0"/>
        <v>2032</v>
      </c>
      <c r="H21" s="13">
        <f t="shared" si="1"/>
        <v>1</v>
      </c>
      <c r="I21" s="22">
        <f t="shared" si="2"/>
        <v>0</v>
      </c>
      <c r="J21" s="42" t="e">
        <f t="shared" si="3"/>
        <v>#REF!</v>
      </c>
    </row>
    <row r="22" spans="1:10" x14ac:dyDescent="0.3">
      <c r="G22" s="12">
        <f t="shared" si="0"/>
        <v>2033</v>
      </c>
      <c r="H22" s="12">
        <f t="shared" si="1"/>
        <v>1</v>
      </c>
      <c r="I22" s="22">
        <f t="shared" si="2"/>
        <v>0</v>
      </c>
      <c r="J22" s="35" t="e">
        <f t="shared" si="3"/>
        <v>#REF!</v>
      </c>
    </row>
    <row r="23" spans="1:10" x14ac:dyDescent="0.3">
      <c r="G23" s="13">
        <f t="shared" si="0"/>
        <v>2034</v>
      </c>
      <c r="H23" s="13">
        <f t="shared" si="1"/>
        <v>1</v>
      </c>
      <c r="I23" s="22">
        <f t="shared" si="2"/>
        <v>0</v>
      </c>
      <c r="J23" s="42" t="e">
        <f t="shared" si="3"/>
        <v>#REF!</v>
      </c>
    </row>
    <row r="24" spans="1:10" x14ac:dyDescent="0.3">
      <c r="G24" s="12">
        <f t="shared" si="0"/>
        <v>2035</v>
      </c>
      <c r="H24" s="12">
        <f t="shared" si="1"/>
        <v>1</v>
      </c>
      <c r="I24" s="22">
        <f t="shared" si="2"/>
        <v>0</v>
      </c>
      <c r="J24" s="35" t="e">
        <f t="shared" si="3"/>
        <v>#REF!</v>
      </c>
    </row>
    <row r="25" spans="1:10" x14ac:dyDescent="0.3">
      <c r="G25" s="13">
        <f t="shared" si="0"/>
        <v>2036</v>
      </c>
      <c r="H25" s="13">
        <f t="shared" si="1"/>
        <v>1</v>
      </c>
      <c r="I25" s="22">
        <f t="shared" si="2"/>
        <v>0</v>
      </c>
      <c r="J25" s="42" t="e">
        <f t="shared" ref="J25:J29" si="4">I25*$B$18*$B$19/10^3</f>
        <v>#REF!</v>
      </c>
    </row>
    <row r="26" spans="1:10" x14ac:dyDescent="0.3">
      <c r="G26" s="12">
        <f t="shared" si="0"/>
        <v>2037</v>
      </c>
      <c r="H26" s="12">
        <f t="shared" si="1"/>
        <v>1</v>
      </c>
      <c r="I26" s="22">
        <f t="shared" si="2"/>
        <v>0</v>
      </c>
      <c r="J26" s="35" t="e">
        <f t="shared" si="4"/>
        <v>#REF!</v>
      </c>
    </row>
    <row r="27" spans="1:10" x14ac:dyDescent="0.3">
      <c r="G27" s="13">
        <f t="shared" si="0"/>
        <v>2038</v>
      </c>
      <c r="H27" s="13">
        <f t="shared" si="1"/>
        <v>1</v>
      </c>
      <c r="I27" s="22">
        <f t="shared" si="2"/>
        <v>0</v>
      </c>
      <c r="J27" s="42" t="e">
        <f t="shared" si="4"/>
        <v>#REF!</v>
      </c>
    </row>
    <row r="28" spans="1:10" x14ac:dyDescent="0.3">
      <c r="G28" s="12">
        <f t="shared" si="0"/>
        <v>2039</v>
      </c>
      <c r="H28" s="12">
        <f t="shared" si="1"/>
        <v>1</v>
      </c>
      <c r="I28" s="22">
        <f t="shared" si="2"/>
        <v>0</v>
      </c>
      <c r="J28" s="35" t="e">
        <f t="shared" si="4"/>
        <v>#REF!</v>
      </c>
    </row>
    <row r="29" spans="1:10" x14ac:dyDescent="0.3">
      <c r="A29" s="26"/>
      <c r="G29" s="13">
        <f t="shared" si="0"/>
        <v>2040</v>
      </c>
      <c r="H29" s="13">
        <f t="shared" si="1"/>
        <v>1</v>
      </c>
      <c r="I29" s="22">
        <f t="shared" si="2"/>
        <v>0</v>
      </c>
      <c r="J29" s="42" t="e">
        <f t="shared" si="4"/>
        <v>#REF!</v>
      </c>
    </row>
    <row r="51" spans="1:1" x14ac:dyDescent="0.3">
      <c r="A51" t="s">
        <v>10</v>
      </c>
    </row>
    <row r="52" spans="1:1" x14ac:dyDescent="0.3">
      <c r="A52" s="4" t="s">
        <v>12</v>
      </c>
    </row>
    <row r="53" spans="1:1" x14ac:dyDescent="0.3">
      <c r="A53" s="4" t="s">
        <v>11</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7620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4.4" x14ac:dyDescent="0.3"/>
  <cols>
    <col min="1" max="1" width="54.33203125" customWidth="1"/>
    <col min="2" max="2" width="12.5546875" customWidth="1"/>
    <col min="3" max="3" width="5.33203125" customWidth="1"/>
    <col min="4" max="4" width="37.44140625" bestFit="1" customWidth="1"/>
    <col min="5" max="5" width="13.33203125" customWidth="1"/>
    <col min="6" max="6" width="4.5546875" customWidth="1"/>
    <col min="8" max="8" width="26.44140625" bestFit="1" customWidth="1"/>
    <col min="9" max="9" width="34.5546875" bestFit="1" customWidth="1"/>
    <col min="10" max="10" width="24.109375" bestFit="1" customWidth="1"/>
    <col min="11" max="11" width="33.44140625" bestFit="1" customWidth="1"/>
  </cols>
  <sheetData>
    <row r="3" spans="1:11" x14ac:dyDescent="0.3">
      <c r="A3" s="7" t="s">
        <v>0</v>
      </c>
      <c r="D3" s="7" t="s">
        <v>32</v>
      </c>
      <c r="E3" s="8" t="s">
        <v>9</v>
      </c>
      <c r="G3" s="14" t="s">
        <v>13</v>
      </c>
      <c r="H3" s="14" t="s">
        <v>41</v>
      </c>
      <c r="I3" s="14" t="s">
        <v>50</v>
      </c>
      <c r="J3" s="14" t="s">
        <v>40</v>
      </c>
      <c r="K3" s="14" t="s">
        <v>51</v>
      </c>
    </row>
    <row r="4" spans="1:11" x14ac:dyDescent="0.3">
      <c r="A4" s="5" t="s">
        <v>5</v>
      </c>
      <c r="B4" s="6"/>
      <c r="D4" s="5" t="s">
        <v>46</v>
      </c>
      <c r="E4" s="47">
        <v>2015</v>
      </c>
      <c r="G4" s="12">
        <f>E4</f>
        <v>2015</v>
      </c>
      <c r="H4" s="38">
        <f t="shared" ref="H4:H24" si="0">IF($G4&lt;($G$4+$E$5),$E$17,0)</f>
        <v>0</v>
      </c>
      <c r="I4" s="37" t="e">
        <f>H4*$B$20/10^3</f>
        <v>#REF!</v>
      </c>
      <c r="J4" s="38">
        <f t="shared" ref="J4:J24" si="1">IF($G4&lt;($G$4+$E$5),$E$18,0)</f>
        <v>0</v>
      </c>
      <c r="K4" s="37" t="e">
        <f>J4*$B$21/10^3</f>
        <v>#REF!</v>
      </c>
    </row>
    <row r="5" spans="1:11" x14ac:dyDescent="0.3">
      <c r="A5" s="5" t="s">
        <v>6</v>
      </c>
      <c r="B5" s="6"/>
      <c r="D5" s="5" t="s">
        <v>36</v>
      </c>
      <c r="E5" s="9">
        <v>10</v>
      </c>
      <c r="G5" s="13">
        <f t="shared" ref="G5:G29" si="2">G4+1</f>
        <v>2016</v>
      </c>
      <c r="H5" s="38">
        <f t="shared" si="0"/>
        <v>0</v>
      </c>
      <c r="I5" s="39" t="e">
        <f t="shared" ref="I5:I24" si="3">H5*$B$20/10^3</f>
        <v>#REF!</v>
      </c>
      <c r="J5" s="38">
        <f t="shared" si="1"/>
        <v>0</v>
      </c>
      <c r="K5" s="39" t="e">
        <f t="shared" ref="K5:K24" si="4">J5*$B$21/10^3</f>
        <v>#REF!</v>
      </c>
    </row>
    <row r="6" spans="1:11" x14ac:dyDescent="0.3">
      <c r="A6" s="5" t="s">
        <v>37</v>
      </c>
      <c r="B6" s="6">
        <v>2</v>
      </c>
      <c r="D6" s="154" t="s">
        <v>34</v>
      </c>
      <c r="E6" s="155"/>
      <c r="G6" s="12">
        <f t="shared" si="2"/>
        <v>2017</v>
      </c>
      <c r="H6" s="38">
        <f t="shared" si="0"/>
        <v>0</v>
      </c>
      <c r="I6" s="37" t="e">
        <f t="shared" si="3"/>
        <v>#REF!</v>
      </c>
      <c r="J6" s="38">
        <f t="shared" si="1"/>
        <v>0</v>
      </c>
      <c r="K6" s="37" t="e">
        <f t="shared" si="4"/>
        <v>#REF!</v>
      </c>
    </row>
    <row r="7" spans="1:11" x14ac:dyDescent="0.3">
      <c r="A7" s="5" t="s">
        <v>47</v>
      </c>
      <c r="B7" s="24"/>
      <c r="D7" s="5" t="s">
        <v>33</v>
      </c>
      <c r="E7" s="9"/>
      <c r="G7" s="13">
        <f t="shared" si="2"/>
        <v>2018</v>
      </c>
      <c r="H7" s="38">
        <f t="shared" si="0"/>
        <v>0</v>
      </c>
      <c r="I7" s="39" t="e">
        <f t="shared" si="3"/>
        <v>#REF!</v>
      </c>
      <c r="J7" s="38">
        <f t="shared" si="1"/>
        <v>0</v>
      </c>
      <c r="K7" s="39" t="e">
        <f t="shared" si="4"/>
        <v>#REF!</v>
      </c>
    </row>
    <row r="8" spans="1:11" x14ac:dyDescent="0.3">
      <c r="A8" s="23" t="s">
        <v>48</v>
      </c>
      <c r="B8" s="24"/>
      <c r="D8" s="154" t="s">
        <v>35</v>
      </c>
      <c r="E8" s="155"/>
      <c r="G8" s="12">
        <f t="shared" si="2"/>
        <v>2019</v>
      </c>
      <c r="H8" s="38">
        <f t="shared" si="0"/>
        <v>0</v>
      </c>
      <c r="I8" s="37" t="e">
        <f t="shared" si="3"/>
        <v>#REF!</v>
      </c>
      <c r="J8" s="38">
        <f t="shared" si="1"/>
        <v>0</v>
      </c>
      <c r="K8" s="37" t="e">
        <f t="shared" si="4"/>
        <v>#REF!</v>
      </c>
    </row>
    <row r="9" spans="1:11" x14ac:dyDescent="0.3">
      <c r="D9" s="5" t="s">
        <v>38</v>
      </c>
      <c r="E9" s="9"/>
      <c r="G9" s="13">
        <f t="shared" si="2"/>
        <v>2020</v>
      </c>
      <c r="H9" s="38">
        <f t="shared" si="0"/>
        <v>0</v>
      </c>
      <c r="I9" s="39" t="e">
        <f t="shared" si="3"/>
        <v>#REF!</v>
      </c>
      <c r="J9" s="38">
        <f t="shared" si="1"/>
        <v>0</v>
      </c>
      <c r="K9" s="39" t="e">
        <f t="shared" si="4"/>
        <v>#REF!</v>
      </c>
    </row>
    <row r="10" spans="1:11" x14ac:dyDescent="0.3">
      <c r="A10" s="11" t="s">
        <v>18</v>
      </c>
      <c r="D10" s="5" t="s">
        <v>39</v>
      </c>
      <c r="E10" s="9"/>
      <c r="G10" s="12">
        <f t="shared" si="2"/>
        <v>2021</v>
      </c>
      <c r="H10" s="38">
        <f t="shared" si="0"/>
        <v>0</v>
      </c>
      <c r="I10" s="37" t="e">
        <f t="shared" si="3"/>
        <v>#REF!</v>
      </c>
      <c r="J10" s="38">
        <f t="shared" si="1"/>
        <v>0</v>
      </c>
      <c r="K10" s="37" t="e">
        <f t="shared" si="4"/>
        <v>#REF!</v>
      </c>
    </row>
    <row r="11" spans="1:11" x14ac:dyDescent="0.3">
      <c r="A11" s="10" t="s">
        <v>52</v>
      </c>
      <c r="B11" s="40" t="e">
        <f>(NPV($B$17,K4:K24)+NPV($B$17,I4:I24))/(1+$B$17)^2</f>
        <v>#REF!</v>
      </c>
      <c r="G11" s="13">
        <f t="shared" si="2"/>
        <v>2022</v>
      </c>
      <c r="H11" s="38">
        <f t="shared" si="0"/>
        <v>0</v>
      </c>
      <c r="I11" s="39" t="e">
        <f t="shared" si="3"/>
        <v>#REF!</v>
      </c>
      <c r="J11" s="38">
        <f t="shared" si="1"/>
        <v>0</v>
      </c>
      <c r="K11" s="39" t="e">
        <f t="shared" si="4"/>
        <v>#REF!</v>
      </c>
    </row>
    <row r="12" spans="1:11" x14ac:dyDescent="0.3">
      <c r="A12" s="10" t="s">
        <v>17</v>
      </c>
      <c r="B12" s="41" t="e">
        <f>B11/B7</f>
        <v>#REF!</v>
      </c>
      <c r="G12" s="12">
        <f t="shared" si="2"/>
        <v>2023</v>
      </c>
      <c r="H12" s="38">
        <f t="shared" si="0"/>
        <v>0</v>
      </c>
      <c r="I12" s="37" t="e">
        <f t="shared" si="3"/>
        <v>#REF!</v>
      </c>
      <c r="J12" s="38">
        <f t="shared" si="1"/>
        <v>0</v>
      </c>
      <c r="K12" s="37" t="e">
        <f t="shared" si="4"/>
        <v>#REF!</v>
      </c>
    </row>
    <row r="13" spans="1:11" x14ac:dyDescent="0.3">
      <c r="A13" s="10" t="s">
        <v>53</v>
      </c>
      <c r="B13" s="40" t="e">
        <f>B7*(B17/(1-(1+B17)^(-E5))/(SUM(H4:H29)+SUM(J4:J29)))</f>
        <v>#DIV/0!</v>
      </c>
      <c r="G13" s="13">
        <f t="shared" si="2"/>
        <v>2024</v>
      </c>
      <c r="H13" s="38">
        <f t="shared" si="0"/>
        <v>0</v>
      </c>
      <c r="I13" s="39" t="e">
        <f t="shared" si="3"/>
        <v>#REF!</v>
      </c>
      <c r="J13" s="38">
        <f t="shared" si="1"/>
        <v>0</v>
      </c>
      <c r="K13" s="39" t="e">
        <f t="shared" si="4"/>
        <v>#REF!</v>
      </c>
    </row>
    <row r="14" spans="1:11" x14ac:dyDescent="0.3">
      <c r="G14" s="12">
        <f>G13+1</f>
        <v>2025</v>
      </c>
      <c r="H14" s="38">
        <f t="shared" si="0"/>
        <v>0</v>
      </c>
      <c r="I14" s="37" t="e">
        <f t="shared" si="3"/>
        <v>#REF!</v>
      </c>
      <c r="J14" s="38">
        <f t="shared" si="1"/>
        <v>0</v>
      </c>
      <c r="K14" s="37" t="e">
        <f t="shared" si="4"/>
        <v>#REF!</v>
      </c>
    </row>
    <row r="15" spans="1:11" x14ac:dyDescent="0.3">
      <c r="A15" s="15" t="s">
        <v>1</v>
      </c>
      <c r="G15" s="13">
        <f t="shared" si="2"/>
        <v>2026</v>
      </c>
      <c r="H15" s="38">
        <f t="shared" si="0"/>
        <v>0</v>
      </c>
      <c r="I15" s="39" t="e">
        <f t="shared" si="3"/>
        <v>#REF!</v>
      </c>
      <c r="J15" s="38">
        <f t="shared" si="1"/>
        <v>0</v>
      </c>
      <c r="K15" s="39" t="e">
        <f t="shared" si="4"/>
        <v>#REF!</v>
      </c>
    </row>
    <row r="16" spans="1:11" x14ac:dyDescent="0.3">
      <c r="A16" s="16" t="s">
        <v>2</v>
      </c>
      <c r="B16" s="27">
        <v>2015</v>
      </c>
      <c r="D16" s="15" t="s">
        <v>15</v>
      </c>
      <c r="E16" s="25" t="s">
        <v>9</v>
      </c>
      <c r="G16" s="12">
        <f t="shared" si="2"/>
        <v>2027</v>
      </c>
      <c r="H16" s="38">
        <f t="shared" si="0"/>
        <v>0</v>
      </c>
      <c r="I16" s="37" t="e">
        <f t="shared" si="3"/>
        <v>#REF!</v>
      </c>
      <c r="J16" s="38">
        <f t="shared" si="1"/>
        <v>0</v>
      </c>
      <c r="K16" s="37" t="e">
        <f t="shared" si="4"/>
        <v>#REF!</v>
      </c>
    </row>
    <row r="17" spans="1:11" x14ac:dyDescent="0.3">
      <c r="A17" s="16" t="s">
        <v>3</v>
      </c>
      <c r="B17" s="17">
        <v>7.0000000000000007E-2</v>
      </c>
      <c r="D17" s="19" t="s">
        <v>38</v>
      </c>
      <c r="E17" s="34">
        <f>IF(E9,E9,$E$7*B18*$B$22/10^6)</f>
        <v>0</v>
      </c>
      <c r="G17" s="13">
        <f t="shared" si="2"/>
        <v>2028</v>
      </c>
      <c r="H17" s="38">
        <f t="shared" si="0"/>
        <v>0</v>
      </c>
      <c r="I17" s="39" t="e">
        <f t="shared" si="3"/>
        <v>#REF!</v>
      </c>
      <c r="J17" s="38">
        <f t="shared" si="1"/>
        <v>0</v>
      </c>
      <c r="K17" s="39" t="e">
        <f t="shared" si="4"/>
        <v>#REF!</v>
      </c>
    </row>
    <row r="18" spans="1:11" x14ac:dyDescent="0.3">
      <c r="A18" s="16" t="s">
        <v>30</v>
      </c>
      <c r="B18" s="45">
        <f>IF($B$6=2,'Assumed Values'!C21,0)</f>
        <v>0.32340150000000001</v>
      </c>
      <c r="D18" s="19" t="s">
        <v>39</v>
      </c>
      <c r="E18" s="34">
        <f>IF(E10,E10,$E$7*B19*$B$22/10^6)</f>
        <v>0</v>
      </c>
      <c r="G18" s="12">
        <f t="shared" si="2"/>
        <v>2029</v>
      </c>
      <c r="H18" s="38">
        <f t="shared" si="0"/>
        <v>0</v>
      </c>
      <c r="I18" s="37" t="e">
        <f t="shared" si="3"/>
        <v>#REF!</v>
      </c>
      <c r="J18" s="38">
        <f t="shared" si="1"/>
        <v>0</v>
      </c>
      <c r="K18" s="37" t="e">
        <f t="shared" si="4"/>
        <v>#REF!</v>
      </c>
    </row>
    <row r="19" spans="1:11" x14ac:dyDescent="0.3">
      <c r="A19" s="16" t="s">
        <v>31</v>
      </c>
      <c r="B19" s="45">
        <f>IF($B$6=2,'Assumed Values'!C22,0)</f>
        <v>0.19106300000000001</v>
      </c>
      <c r="G19" s="13">
        <f t="shared" si="2"/>
        <v>2030</v>
      </c>
      <c r="H19" s="38">
        <f t="shared" si="0"/>
        <v>0</v>
      </c>
      <c r="I19" s="39" t="e">
        <f t="shared" si="3"/>
        <v>#REF!</v>
      </c>
      <c r="J19" s="38">
        <f t="shared" si="1"/>
        <v>0</v>
      </c>
      <c r="K19" s="39" t="e">
        <f t="shared" si="4"/>
        <v>#REF!</v>
      </c>
    </row>
    <row r="20" spans="1:11" x14ac:dyDescent="0.3">
      <c r="A20" s="16" t="s">
        <v>54</v>
      </c>
      <c r="B20" s="36" t="e">
        <f>'Assumed Values'!C19</f>
        <v>#REF!</v>
      </c>
      <c r="G20" s="12">
        <f t="shared" si="2"/>
        <v>2031</v>
      </c>
      <c r="H20" s="38">
        <f t="shared" si="0"/>
        <v>0</v>
      </c>
      <c r="I20" s="37" t="e">
        <f t="shared" si="3"/>
        <v>#REF!</v>
      </c>
      <c r="J20" s="38">
        <f t="shared" si="1"/>
        <v>0</v>
      </c>
      <c r="K20" s="37" t="e">
        <f t="shared" si="4"/>
        <v>#REF!</v>
      </c>
    </row>
    <row r="21" spans="1:11" x14ac:dyDescent="0.3">
      <c r="A21" s="16" t="s">
        <v>55</v>
      </c>
      <c r="B21" s="36" t="e">
        <f>'Assumed Values'!C20</f>
        <v>#REF!</v>
      </c>
      <c r="G21" s="13">
        <f t="shared" si="2"/>
        <v>2032</v>
      </c>
      <c r="H21" s="38">
        <f t="shared" si="0"/>
        <v>0</v>
      </c>
      <c r="I21" s="39" t="e">
        <f t="shared" si="3"/>
        <v>#REF!</v>
      </c>
      <c r="J21" s="38">
        <f t="shared" si="1"/>
        <v>0</v>
      </c>
      <c r="K21" s="39" t="e">
        <f t="shared" si="4"/>
        <v>#REF!</v>
      </c>
    </row>
    <row r="22" spans="1:11" x14ac:dyDescent="0.3">
      <c r="A22" s="16" t="s">
        <v>16</v>
      </c>
      <c r="B22" s="16">
        <v>260</v>
      </c>
      <c r="G22" s="12">
        <f t="shared" si="2"/>
        <v>2033</v>
      </c>
      <c r="H22" s="38">
        <f t="shared" si="0"/>
        <v>0</v>
      </c>
      <c r="I22" s="37" t="e">
        <f t="shared" si="3"/>
        <v>#REF!</v>
      </c>
      <c r="J22" s="38">
        <f t="shared" si="1"/>
        <v>0</v>
      </c>
      <c r="K22" s="37" t="e">
        <f t="shared" si="4"/>
        <v>#REF!</v>
      </c>
    </row>
    <row r="23" spans="1:11" x14ac:dyDescent="0.3">
      <c r="G23" s="13">
        <f t="shared" si="2"/>
        <v>2034</v>
      </c>
      <c r="H23" s="38">
        <f t="shared" si="0"/>
        <v>0</v>
      </c>
      <c r="I23" s="39" t="e">
        <f t="shared" si="3"/>
        <v>#REF!</v>
      </c>
      <c r="J23" s="38">
        <f t="shared" si="1"/>
        <v>0</v>
      </c>
      <c r="K23" s="39" t="e">
        <f t="shared" si="4"/>
        <v>#REF!</v>
      </c>
    </row>
    <row r="24" spans="1:11" x14ac:dyDescent="0.3">
      <c r="G24" s="12">
        <f t="shared" si="2"/>
        <v>2035</v>
      </c>
      <c r="H24" s="38">
        <f t="shared" si="0"/>
        <v>0</v>
      </c>
      <c r="I24" s="37" t="e">
        <f t="shared" si="3"/>
        <v>#REF!</v>
      </c>
      <c r="J24" s="38">
        <f t="shared" si="1"/>
        <v>0</v>
      </c>
      <c r="K24" s="37" t="e">
        <f t="shared" si="4"/>
        <v>#REF!</v>
      </c>
    </row>
    <row r="25" spans="1:11" x14ac:dyDescent="0.3">
      <c r="G25" s="13">
        <f t="shared" si="2"/>
        <v>2036</v>
      </c>
      <c r="H25" s="38">
        <f t="shared" ref="H25:H28" si="5">IF($G25&lt;($G$4+$E$5),$E$17,0)</f>
        <v>0</v>
      </c>
      <c r="I25" s="39" t="e">
        <f t="shared" ref="I25:I29" si="6">H25*$B$20/10^3</f>
        <v>#REF!</v>
      </c>
      <c r="J25" s="38">
        <f t="shared" ref="J25:J28" si="7">IF($G25&lt;($G$4+$E$5),$E$18,0)</f>
        <v>0</v>
      </c>
      <c r="K25" s="39" t="e">
        <f t="shared" ref="K25:K29" si="8">J25*$B$21/10^3</f>
        <v>#REF!</v>
      </c>
    </row>
    <row r="26" spans="1:11" x14ac:dyDescent="0.3">
      <c r="G26" s="12">
        <f t="shared" si="2"/>
        <v>2037</v>
      </c>
      <c r="H26" s="38">
        <f t="shared" si="5"/>
        <v>0</v>
      </c>
      <c r="I26" s="37" t="e">
        <f t="shared" si="6"/>
        <v>#REF!</v>
      </c>
      <c r="J26" s="38">
        <f t="shared" si="7"/>
        <v>0</v>
      </c>
      <c r="K26" s="37" t="e">
        <f t="shared" si="8"/>
        <v>#REF!</v>
      </c>
    </row>
    <row r="27" spans="1:11" x14ac:dyDescent="0.3">
      <c r="G27" s="13">
        <f t="shared" si="2"/>
        <v>2038</v>
      </c>
      <c r="H27" s="38">
        <f t="shared" si="5"/>
        <v>0</v>
      </c>
      <c r="I27" s="39" t="e">
        <f t="shared" si="6"/>
        <v>#REF!</v>
      </c>
      <c r="J27" s="38">
        <f t="shared" si="7"/>
        <v>0</v>
      </c>
      <c r="K27" s="39" t="e">
        <f t="shared" si="8"/>
        <v>#REF!</v>
      </c>
    </row>
    <row r="28" spans="1:11" x14ac:dyDescent="0.3">
      <c r="G28" s="12">
        <f t="shared" si="2"/>
        <v>2039</v>
      </c>
      <c r="H28" s="38">
        <f t="shared" si="5"/>
        <v>0</v>
      </c>
      <c r="I28" s="37" t="e">
        <f t="shared" si="6"/>
        <v>#REF!</v>
      </c>
      <c r="J28" s="38">
        <f t="shared" si="7"/>
        <v>0</v>
      </c>
      <c r="K28" s="37" t="e">
        <f t="shared" si="8"/>
        <v>#REF!</v>
      </c>
    </row>
    <row r="29" spans="1:11" x14ac:dyDescent="0.3">
      <c r="G29" s="13">
        <f t="shared" si="2"/>
        <v>2040</v>
      </c>
      <c r="H29" s="38">
        <f>IF($G29&lt;($G$4+$E$5),$E$17,0)</f>
        <v>0</v>
      </c>
      <c r="I29" s="39" t="e">
        <f t="shared" si="6"/>
        <v>#REF!</v>
      </c>
      <c r="J29" s="38">
        <f>IF($G29&lt;($G$4+$E$5),$E$18,0)</f>
        <v>0</v>
      </c>
      <c r="K29" s="39" t="e">
        <f t="shared" si="8"/>
        <v>#REF!</v>
      </c>
    </row>
    <row r="31" spans="1:11" x14ac:dyDescent="0.3">
      <c r="A31" s="26"/>
    </row>
    <row r="53" spans="1:1" x14ac:dyDescent="0.3">
      <c r="A53" t="s">
        <v>10</v>
      </c>
    </row>
    <row r="54" spans="1:1" x14ac:dyDescent="0.3">
      <c r="A54" s="4" t="s">
        <v>12</v>
      </c>
    </row>
    <row r="55" spans="1:1" x14ac:dyDescent="0.3">
      <c r="A55" s="4" t="s">
        <v>11</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B3:K55"/>
  <sheetViews>
    <sheetView tabSelected="1" topLeftCell="A22" zoomScale="115" zoomScaleNormal="115" workbookViewId="0">
      <selection activeCell="D22" sqref="D22"/>
    </sheetView>
  </sheetViews>
  <sheetFormatPr defaultColWidth="9.109375" defaultRowHeight="14.4" x14ac:dyDescent="0.3"/>
  <cols>
    <col min="1" max="1" width="9.109375" style="136"/>
    <col min="2" max="2" width="45.109375" style="136" bestFit="1" customWidth="1"/>
    <col min="3" max="3" width="13.44140625" style="136" customWidth="1"/>
    <col min="4" max="4" width="4.88671875" style="136" customWidth="1"/>
    <col min="5" max="5" width="5.88671875" style="136" customWidth="1"/>
    <col min="6" max="6" width="53.5546875" style="136" customWidth="1"/>
    <col min="7" max="9" width="9.109375" style="136"/>
    <col min="10" max="10" width="13" style="137" customWidth="1"/>
    <col min="11" max="11" width="13.33203125" style="136" bestFit="1" customWidth="1"/>
    <col min="12" max="15" width="9.109375" style="136"/>
    <col min="16" max="16" width="9.33203125" style="136" customWidth="1"/>
    <col min="17" max="16384" width="9.109375" style="136"/>
  </cols>
  <sheetData>
    <row r="3" spans="2:6" ht="18" x14ac:dyDescent="0.35">
      <c r="B3" s="134" t="s">
        <v>87</v>
      </c>
      <c r="C3" s="135"/>
      <c r="D3" s="135"/>
      <c r="E3" s="135"/>
      <c r="F3" s="135"/>
    </row>
    <row r="5" spans="2:6" x14ac:dyDescent="0.3">
      <c r="B5" s="138" t="s">
        <v>0</v>
      </c>
    </row>
    <row r="6" spans="2:6" ht="57.6" x14ac:dyDescent="0.3">
      <c r="B6" s="139" t="s">
        <v>155</v>
      </c>
      <c r="C6" s="104" t="s">
        <v>203</v>
      </c>
    </row>
    <row r="7" spans="2:6" x14ac:dyDescent="0.3">
      <c r="B7" s="6" t="s">
        <v>115</v>
      </c>
      <c r="C7" s="6" t="s">
        <v>122</v>
      </c>
      <c r="E7" s="6"/>
      <c r="F7" s="136" t="s">
        <v>168</v>
      </c>
    </row>
    <row r="8" spans="2:6" x14ac:dyDescent="0.3">
      <c r="B8" s="6" t="s">
        <v>124</v>
      </c>
      <c r="C8" s="6" t="s">
        <v>126</v>
      </c>
      <c r="E8" s="140"/>
      <c r="F8" s="136" t="s">
        <v>164</v>
      </c>
    </row>
    <row r="9" spans="2:6" x14ac:dyDescent="0.3">
      <c r="B9" s="6" t="s">
        <v>156</v>
      </c>
      <c r="C9" s="6" t="s">
        <v>204</v>
      </c>
      <c r="E9" s="141"/>
      <c r="F9" s="136" t="s">
        <v>187</v>
      </c>
    </row>
    <row r="10" spans="2:6" x14ac:dyDescent="0.3">
      <c r="B10" s="6" t="s">
        <v>113</v>
      </c>
      <c r="C10" s="6" t="s">
        <v>204</v>
      </c>
      <c r="E10" s="142"/>
      <c r="F10" s="136" t="s">
        <v>169</v>
      </c>
    </row>
    <row r="11" spans="2:6" x14ac:dyDescent="0.3">
      <c r="B11" s="6" t="s">
        <v>114</v>
      </c>
      <c r="C11" s="6" t="s">
        <v>204</v>
      </c>
    </row>
    <row r="12" spans="2:6" x14ac:dyDescent="0.3">
      <c r="B12" s="6" t="s">
        <v>77</v>
      </c>
      <c r="C12" s="6">
        <v>171</v>
      </c>
    </row>
    <row r="13" spans="2:6" x14ac:dyDescent="0.3">
      <c r="B13" s="6" t="s">
        <v>78</v>
      </c>
      <c r="C13" s="6"/>
    </row>
    <row r="14" spans="2:6" x14ac:dyDescent="0.3">
      <c r="B14" s="78"/>
      <c r="C14" s="78"/>
    </row>
    <row r="15" spans="2:6" x14ac:dyDescent="0.3">
      <c r="B15" s="138" t="s">
        <v>159</v>
      </c>
    </row>
    <row r="16" spans="2:6" x14ac:dyDescent="0.3">
      <c r="B16" s="6" t="s">
        <v>102</v>
      </c>
      <c r="C16" s="47">
        <v>2022</v>
      </c>
    </row>
    <row r="17" spans="2:11" ht="28.8" x14ac:dyDescent="0.3">
      <c r="B17" s="6" t="s">
        <v>173</v>
      </c>
      <c r="C17" s="130" t="s">
        <v>182</v>
      </c>
    </row>
    <row r="18" spans="2:11" x14ac:dyDescent="0.3">
      <c r="B18" s="141" t="s">
        <v>101</v>
      </c>
      <c r="C18" s="131">
        <f>VLOOKUP(C17,'Service Life'!C5:D15,2,FALSE)</f>
        <v>10</v>
      </c>
    </row>
    <row r="19" spans="2:11" x14ac:dyDescent="0.3">
      <c r="E19" s="143"/>
      <c r="F19" s="83"/>
    </row>
    <row r="20" spans="2:11" x14ac:dyDescent="0.3">
      <c r="B20" s="78"/>
      <c r="C20" s="102"/>
      <c r="E20" s="143"/>
      <c r="F20" s="83"/>
    </row>
    <row r="21" spans="2:11" x14ac:dyDescent="0.3">
      <c r="B21" s="144" t="s">
        <v>79</v>
      </c>
      <c r="C21" s="102"/>
      <c r="E21" s="143"/>
      <c r="F21" s="83"/>
    </row>
    <row r="22" spans="2:11" ht="28.8" x14ac:dyDescent="0.3">
      <c r="B22" s="130" t="s">
        <v>202</v>
      </c>
      <c r="C22" s="130">
        <v>492</v>
      </c>
      <c r="E22" s="143"/>
      <c r="F22" s="83"/>
    </row>
    <row r="23" spans="2:11" x14ac:dyDescent="0.3">
      <c r="B23" s="6" t="s">
        <v>172</v>
      </c>
      <c r="C23" s="6">
        <v>0.5</v>
      </c>
      <c r="E23" s="143"/>
      <c r="F23" s="83"/>
    </row>
    <row r="24" spans="2:11" x14ac:dyDescent="0.3">
      <c r="E24" s="143"/>
      <c r="F24" s="83"/>
    </row>
    <row r="25" spans="2:11" x14ac:dyDescent="0.3">
      <c r="I25" s="145"/>
      <c r="J25" s="146"/>
      <c r="K25" s="147"/>
    </row>
    <row r="26" spans="2:11" x14ac:dyDescent="0.3">
      <c r="B26" s="148" t="s">
        <v>195</v>
      </c>
      <c r="C26" s="133">
        <v>2724</v>
      </c>
      <c r="I26" s="145"/>
      <c r="J26" s="146"/>
      <c r="K26" s="147"/>
    </row>
    <row r="27" spans="2:11" x14ac:dyDescent="0.3">
      <c r="B27" s="148" t="s">
        <v>196</v>
      </c>
      <c r="C27" s="133">
        <v>10196</v>
      </c>
      <c r="I27" s="145"/>
      <c r="J27" s="146"/>
      <c r="K27" s="147"/>
    </row>
    <row r="28" spans="2:11" x14ac:dyDescent="0.3">
      <c r="B28" s="148" t="s">
        <v>200</v>
      </c>
      <c r="C28" s="133">
        <v>2927</v>
      </c>
      <c r="I28" s="145"/>
      <c r="J28" s="146"/>
      <c r="K28" s="147"/>
    </row>
    <row r="29" spans="2:11" x14ac:dyDescent="0.3">
      <c r="B29" s="148" t="s">
        <v>197</v>
      </c>
      <c r="C29" s="133">
        <v>10196</v>
      </c>
      <c r="I29" s="145"/>
      <c r="J29" s="146"/>
      <c r="K29" s="147"/>
    </row>
    <row r="30" spans="2:11" x14ac:dyDescent="0.3">
      <c r="B30" s="148" t="s">
        <v>201</v>
      </c>
      <c r="C30" s="133">
        <v>4777</v>
      </c>
      <c r="F30" s="149"/>
      <c r="H30" s="149"/>
      <c r="J30" s="146"/>
      <c r="K30" s="147"/>
    </row>
    <row r="31" spans="2:11" x14ac:dyDescent="0.3">
      <c r="B31" s="148" t="s">
        <v>198</v>
      </c>
      <c r="C31" s="133">
        <v>10196</v>
      </c>
      <c r="K31" s="147"/>
    </row>
    <row r="33" spans="2:9" ht="18" x14ac:dyDescent="0.35">
      <c r="B33" s="134" t="s">
        <v>88</v>
      </c>
      <c r="C33" s="135"/>
      <c r="D33" s="135"/>
      <c r="E33" s="135"/>
      <c r="F33" s="135"/>
      <c r="I33" s="149"/>
    </row>
    <row r="35" spans="2:9" x14ac:dyDescent="0.3">
      <c r="B35" s="150" t="s">
        <v>86</v>
      </c>
    </row>
    <row r="36" spans="2:9" x14ac:dyDescent="0.3">
      <c r="B36" s="142" t="s">
        <v>112</v>
      </c>
      <c r="C36" s="153">
        <f>Calculations!T37</f>
        <v>211.37191567104418</v>
      </c>
      <c r="D36" s="151"/>
    </row>
    <row r="55" spans="2:2" x14ac:dyDescent="0.3">
      <c r="B55" s="152"/>
    </row>
  </sheetData>
  <sheetProtection algorithmName="SHA-512" hashValue="HpyLcuJLk3kMETGMVl/jKI8qkfRSjX0eDp7FBbOZUs58q4A7/szPWZTeMXMaQ9SO6Y9YpAzV9YYj2clmGdkslw==" saltValue="lDRzmpRmGj6zicjRTZH9Lw==" spinCount="100000" sheet="1" objects="1" scenarios="1"/>
  <pageMargins left="0.25" right="0.25" top="0.75" bottom="0.75" header="0.3" footer="0.3"/>
  <pageSetup scale="95"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'CRASH RATES'!$C$14:$C$21</xm:f>
          </x14:formula1>
          <xm:sqref>C7</xm:sqref>
        </x14:dataValidation>
        <x14:dataValidation type="list" allowBlank="1" showInputMessage="1" showErrorMessage="1" xr:uid="{00000000-0002-0000-0300-000001000000}">
          <x14:formula1>
            <xm:f>'CRASH RATES'!$D$3:$D$4</xm:f>
          </x14:formula1>
          <xm:sqref>C8</xm:sqref>
        </x14:dataValidation>
        <x14:dataValidation type="list" allowBlank="1" showInputMessage="1" showErrorMessage="1" xr:uid="{00000000-0002-0000-0300-000002000000}">
          <x14:formula1>
            <xm:f>Calculations!$M$7:$M$36</xm:f>
          </x14:formula1>
          <xm:sqref>C16</xm:sqref>
        </x14:dataValidation>
        <x14:dataValidation type="list" allowBlank="1" showInputMessage="1" showErrorMessage="1" xr:uid="{23F3C71C-6BF5-40AE-9118-2851FF9D4EEB}">
          <x14:formula1>
            <xm:f>'Service Life'!$C$5:$C$15</xm:f>
          </x14:formula1>
          <xm:sqref>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8"/>
    <pageSetUpPr fitToPage="1"/>
  </sheetPr>
  <dimension ref="A3:T74"/>
  <sheetViews>
    <sheetView topLeftCell="C1" zoomScale="85" zoomScaleNormal="85" workbookViewId="0">
      <selection activeCell="I19" sqref="I19"/>
    </sheetView>
  </sheetViews>
  <sheetFormatPr defaultRowHeight="14.4" x14ac:dyDescent="0.3"/>
  <cols>
    <col min="1" max="1" width="42.33203125" customWidth="1"/>
    <col min="2" max="2" width="12.5546875" customWidth="1"/>
    <col min="3" max="3" width="5.33203125" customWidth="1"/>
    <col min="4" max="4" width="49.33203125" bestFit="1" customWidth="1"/>
    <col min="5" max="5" width="15.44140625" bestFit="1" customWidth="1"/>
    <col min="6" max="10" width="15.44140625" customWidth="1"/>
    <col min="11" max="11" width="6.33203125" customWidth="1"/>
    <col min="12" max="12" width="5.109375" customWidth="1"/>
    <col min="13" max="13" width="9.33203125" bestFit="1" customWidth="1"/>
    <col min="14" max="14" width="16.6640625" style="1" customWidth="1"/>
    <col min="15" max="15" width="16.88671875" style="56" bestFit="1" customWidth="1"/>
    <col min="16" max="16" width="11.44140625" style="59" bestFit="1" customWidth="1"/>
    <col min="17" max="17" width="25.5546875" customWidth="1"/>
    <col min="18" max="18" width="18.6640625" customWidth="1"/>
    <col min="19" max="19" width="28.6640625" customWidth="1"/>
    <col min="20" max="20" width="18.88671875" customWidth="1"/>
  </cols>
  <sheetData>
    <row r="3" spans="1:20" ht="28.8" x14ac:dyDescent="0.3">
      <c r="A3" s="15" t="s">
        <v>1</v>
      </c>
      <c r="D3" s="107" t="s">
        <v>163</v>
      </c>
      <c r="G3" s="156" t="s">
        <v>171</v>
      </c>
      <c r="H3" s="156"/>
      <c r="I3" s="156"/>
      <c r="J3" s="156"/>
      <c r="M3" s="14" t="s">
        <v>13</v>
      </c>
      <c r="N3" s="52" t="s">
        <v>82</v>
      </c>
      <c r="O3" s="54" t="s">
        <v>14</v>
      </c>
      <c r="P3" s="57" t="s">
        <v>83</v>
      </c>
      <c r="Q3" s="124" t="s">
        <v>111</v>
      </c>
      <c r="R3" s="14" t="s">
        <v>81</v>
      </c>
      <c r="S3" s="124" t="s">
        <v>141</v>
      </c>
      <c r="T3" s="124" t="s">
        <v>145</v>
      </c>
    </row>
    <row r="4" spans="1:20" x14ac:dyDescent="0.3">
      <c r="A4" s="16" t="s">
        <v>2</v>
      </c>
      <c r="B4" s="27">
        <v>2018</v>
      </c>
      <c r="D4" s="101" t="s">
        <v>160</v>
      </c>
      <c r="E4" s="100">
        <f>'Inputs &amp; Outputs'!C22/$B$6</f>
        <v>353.9568345323741</v>
      </c>
      <c r="G4" s="157" t="s">
        <v>170</v>
      </c>
      <c r="H4" s="157"/>
      <c r="I4" s="157"/>
      <c r="J4" s="116">
        <f>SUMPRODUCT(Possible_Crash_Reductions,'Value of Statistical Life'!E5:E11)</f>
        <v>34494.501012094392</v>
      </c>
      <c r="M4" s="60">
        <v>2018</v>
      </c>
      <c r="N4" s="61" t="s">
        <v>85</v>
      </c>
      <c r="O4" s="62">
        <f>MIN(B13,1)</f>
        <v>0.26716359356610436</v>
      </c>
      <c r="P4" s="63">
        <f>-(ROUNDUP(O4,0)-2)</f>
        <v>1</v>
      </c>
      <c r="Q4" s="119">
        <f>IF(M4=Year_Open_to_Traffic?,Calculations!$J$4,0)</f>
        <v>0</v>
      </c>
      <c r="R4" s="66">
        <f t="shared" ref="R4:R36" si="0">IF(AND(M4&gt;=Year_Open_to_Traffic?,M4&lt;Year_Open_to_Traffic?+Years_to_include_in_BCA_Analysis),1,0)</f>
        <v>0</v>
      </c>
      <c r="S4" s="119">
        <f>(Q4*R4)/10^3</f>
        <v>0</v>
      </c>
      <c r="T4" s="40">
        <f>S4/(1+'Assumed Values'!$C$6)^(Calculations!M4-'Assumed Values'!$C$5)</f>
        <v>0</v>
      </c>
    </row>
    <row r="5" spans="1:20" x14ac:dyDescent="0.3">
      <c r="A5" s="16" t="s">
        <v>56</v>
      </c>
      <c r="B5" s="16">
        <f>Service_Life</f>
        <v>10</v>
      </c>
      <c r="D5" s="101" t="s">
        <v>161</v>
      </c>
      <c r="E5" s="100">
        <f>($E$4*'Inputs &amp; Outputs'!$C$23)*2</f>
        <v>353.9568345323741</v>
      </c>
      <c r="M5" s="13">
        <f t="shared" ref="M5:M36" si="1">M4+1</f>
        <v>2019</v>
      </c>
      <c r="N5" s="53">
        <f t="shared" ref="N5:N11" si="2">IF(ISERROR(_2025_2045_Demand_Growth),_2018_2045_Demand_Growth,_2018_2025_Demand_Growth)</f>
        <v>1.0320986207323912E-2</v>
      </c>
      <c r="O5" s="55">
        <f t="shared" ref="O5:O11" si="3">O4*(1+IFERROR(_2018_2025_V_C_Growth,_2018_2045_V_C_Growth))</f>
        <v>0.26992098533039921</v>
      </c>
      <c r="P5" s="58">
        <f t="shared" ref="P5:P36" si="4">-(ROUNDUP(O5,0)-2)</f>
        <v>1</v>
      </c>
      <c r="Q5" s="119">
        <f>IF(M5=Year_Open_to_Traffic?,Calculations!$J$4,Calculations!Q4+Calculations!Q4*Calculations!N5*P5)</f>
        <v>0</v>
      </c>
      <c r="R5" s="66">
        <f t="shared" si="0"/>
        <v>0</v>
      </c>
      <c r="S5" s="119">
        <f t="shared" ref="S5:S36" si="5">(Q5*R5)/10^3</f>
        <v>0</v>
      </c>
      <c r="T5" s="40">
        <f>S5/(1+'Assumed Values'!$C$6)^(Calculations!M5-'Assumed Values'!$C$5)</f>
        <v>0</v>
      </c>
    </row>
    <row r="6" spans="1:20" x14ac:dyDescent="0.3">
      <c r="A6" s="16" t="s">
        <v>4</v>
      </c>
      <c r="B6" s="16">
        <v>1.39</v>
      </c>
      <c r="D6" s="101" t="s">
        <v>162</v>
      </c>
      <c r="E6" s="100">
        <f>$E$5*$B$7</f>
        <v>92028.776978417271</v>
      </c>
      <c r="M6" s="60">
        <f t="shared" si="1"/>
        <v>2020</v>
      </c>
      <c r="N6" s="53">
        <f t="shared" si="2"/>
        <v>1.0320986207323912E-2</v>
      </c>
      <c r="O6" s="55">
        <f t="shared" si="3"/>
        <v>0.27270683609706153</v>
      </c>
      <c r="P6" s="58">
        <f t="shared" si="4"/>
        <v>1</v>
      </c>
      <c r="Q6" s="119">
        <f>IF(M6=Year_Open_to_Traffic?,Calculations!$J$4,Calculations!Q5+Calculations!Q5*Calculations!N6*P6)</f>
        <v>0</v>
      </c>
      <c r="R6" s="66">
        <f t="shared" si="0"/>
        <v>0</v>
      </c>
      <c r="S6" s="119">
        <f t="shared" si="5"/>
        <v>0</v>
      </c>
      <c r="T6" s="40">
        <f>S6/(1+'Assumed Values'!$C$6)^(Calculations!M6-'Assumed Values'!$C$5)</f>
        <v>0</v>
      </c>
    </row>
    <row r="7" spans="1:20" x14ac:dyDescent="0.3">
      <c r="A7" s="16" t="s">
        <v>174</v>
      </c>
      <c r="B7" s="16">
        <v>260</v>
      </c>
      <c r="M7" s="13">
        <f t="shared" si="1"/>
        <v>2021</v>
      </c>
      <c r="N7" s="53">
        <f t="shared" si="2"/>
        <v>1.0320986207323912E-2</v>
      </c>
      <c r="O7" s="55">
        <f t="shared" si="3"/>
        <v>0.27552143959106223</v>
      </c>
      <c r="P7" s="58">
        <f t="shared" si="4"/>
        <v>1</v>
      </c>
      <c r="Q7" s="119">
        <f>IF(M7=Year_Open_to_Traffic?,Calculations!$J$4,Calculations!Q6+Calculations!Q6*Calculations!N7*P7)</f>
        <v>0</v>
      </c>
      <c r="R7" s="66">
        <f t="shared" si="0"/>
        <v>0</v>
      </c>
      <c r="S7" s="119">
        <f t="shared" si="5"/>
        <v>0</v>
      </c>
      <c r="T7" s="40">
        <f>S7/(1+'Assumed Values'!$C$6)^(Calculations!M7-'Assumed Values'!$C$5)</f>
        <v>0</v>
      </c>
    </row>
    <row r="8" spans="1:20" x14ac:dyDescent="0.3">
      <c r="M8" s="60">
        <f t="shared" si="1"/>
        <v>2022</v>
      </c>
      <c r="N8" s="53">
        <f t="shared" si="2"/>
        <v>1.0320986207323912E-2</v>
      </c>
      <c r="O8" s="55">
        <f t="shared" si="3"/>
        <v>0.27836509256890363</v>
      </c>
      <c r="P8" s="58">
        <f t="shared" si="4"/>
        <v>1</v>
      </c>
      <c r="Q8" s="119">
        <f>IF(M8=Year_Open_to_Traffic?,Calculations!$J$4,Calculations!Q7+Calculations!Q7*Calculations!N8*P8)</f>
        <v>34494.501012094392</v>
      </c>
      <c r="R8" s="66">
        <f t="shared" si="0"/>
        <v>1</v>
      </c>
      <c r="S8" s="119">
        <f t="shared" si="5"/>
        <v>34.494501012094389</v>
      </c>
      <c r="T8" s="40">
        <f>S8/(1+'Assumed Values'!$C$6)^(Calculations!M8-'Assumed Values'!$C$5)</f>
        <v>26.315689664095324</v>
      </c>
    </row>
    <row r="9" spans="1:20" x14ac:dyDescent="0.3">
      <c r="A9" s="105" t="s">
        <v>15</v>
      </c>
      <c r="B9" s="90"/>
      <c r="D9" s="108" t="s">
        <v>139</v>
      </c>
      <c r="E9" s="82"/>
      <c r="F9" s="87"/>
      <c r="M9" s="13">
        <f t="shared" si="1"/>
        <v>2023</v>
      </c>
      <c r="N9" s="53">
        <f t="shared" si="2"/>
        <v>1.0320986207323912E-2</v>
      </c>
      <c r="O9" s="55">
        <f t="shared" si="3"/>
        <v>0.28123809484990775</v>
      </c>
      <c r="P9" s="58">
        <f t="shared" si="4"/>
        <v>1</v>
      </c>
      <c r="Q9" s="119">
        <f>IF(M9=Year_Open_to_Traffic?,Calculations!$J$4,Calculations!Q8+Calculations!Q8*Calculations!N9*P9)</f>
        <v>34850.518281268742</v>
      </c>
      <c r="R9" s="66">
        <f t="shared" si="0"/>
        <v>1</v>
      </c>
      <c r="S9" s="119">
        <f t="shared" si="5"/>
        <v>34.850518281268741</v>
      </c>
      <c r="T9" s="40">
        <f>S9/(1+'Assumed Values'!$C$6)^(Calculations!M9-'Assumed Values'!$C$5)</f>
        <v>24.847937882387541</v>
      </c>
    </row>
    <row r="10" spans="1:20" x14ac:dyDescent="0.3">
      <c r="A10" s="16" t="s">
        <v>76</v>
      </c>
      <c r="B10" s="43">
        <f>(_2025_Volume/'Inputs &amp; Outputs'!C26)^(1/(2025-2018))-1</f>
        <v>1.0320986207323912E-2</v>
      </c>
      <c r="D10" s="64" t="s">
        <v>133</v>
      </c>
      <c r="E10" s="100">
        <f>IF('Inputs &amp; Outputs'!$C$8='CRASH RATES'!$D$3, VLOOKUP('Inputs &amp; Outputs'!$C$7,'CRASH RATES'!$C$14:$J$21,3,FALSE), VLOOKUP('Inputs &amp; Outputs'!$C$7,'CRASH RATES'!$C$28:$J$35,3,FALSE))</f>
        <v>1.6733669755541722</v>
      </c>
      <c r="F10" s="83"/>
      <c r="M10" s="60">
        <f t="shared" si="1"/>
        <v>2024</v>
      </c>
      <c r="N10" s="53">
        <f t="shared" si="2"/>
        <v>1.0320986207323912E-2</v>
      </c>
      <c r="O10" s="55">
        <f t="shared" si="3"/>
        <v>0.28414074934782768</v>
      </c>
      <c r="P10" s="58">
        <f t="shared" si="4"/>
        <v>1</v>
      </c>
      <c r="Q10" s="119">
        <f>IF(M10=Year_Open_to_Traffic?,Calculations!$J$4,Calculations!Q9+Calculations!Q9*Calculations!N10*P10)</f>
        <v>35210.209999767809</v>
      </c>
      <c r="R10" s="66">
        <f t="shared" si="0"/>
        <v>1</v>
      </c>
      <c r="S10" s="119">
        <f t="shared" si="5"/>
        <v>35.210209999767805</v>
      </c>
      <c r="T10" s="40">
        <f>S10/(1+'Assumed Values'!$C$6)^(Calculations!M10-'Assumed Values'!$C$5)</f>
        <v>23.462049632291688</v>
      </c>
    </row>
    <row r="11" spans="1:20" x14ac:dyDescent="0.3">
      <c r="A11" s="16" t="s">
        <v>105</v>
      </c>
      <c r="B11" s="43">
        <f>(_2045_Volume/_2025_Volume)^(1/(2045-2025))-1</f>
        <v>2.4794122516786921E-2</v>
      </c>
      <c r="D11" s="64" t="s">
        <v>134</v>
      </c>
      <c r="E11" s="100">
        <f>IF('Inputs &amp; Outputs'!$C$8='CRASH RATES'!$D$3, VLOOKUP('Inputs &amp; Outputs'!$C$7,'CRASH RATES'!$C$14:$J$21,4,FALSE), VLOOKUP('Inputs &amp; Outputs'!$C$7,'CRASH RATES'!$C$28:$J$35,4,FALSE))</f>
        <v>10.467444485381417</v>
      </c>
      <c r="F11" s="83"/>
      <c r="M11" s="13">
        <f t="shared" si="1"/>
        <v>2025</v>
      </c>
      <c r="N11" s="53">
        <f t="shared" si="2"/>
        <v>1.0320986207323912E-2</v>
      </c>
      <c r="O11" s="55">
        <f t="shared" si="3"/>
        <v>0.28707336210278528</v>
      </c>
      <c r="P11" s="58">
        <f t="shared" si="4"/>
        <v>1</v>
      </c>
      <c r="Q11" s="119">
        <f>IF(M11=Year_Open_to_Traffic?,Calculations!$J$4,Calculations!Q10+Calculations!Q10*Calculations!N11*P11)</f>
        <v>35573.614091532392</v>
      </c>
      <c r="R11" s="66">
        <f t="shared" si="0"/>
        <v>1</v>
      </c>
      <c r="S11" s="119">
        <f t="shared" si="5"/>
        <v>35.573614091532392</v>
      </c>
      <c r="T11" s="40">
        <f>S11/(1+'Assumed Values'!$C$6)^(Calculations!M11-'Assumed Values'!$C$5)</f>
        <v>22.153458993403849</v>
      </c>
    </row>
    <row r="12" spans="1:20" x14ac:dyDescent="0.3">
      <c r="A12" s="16" t="s">
        <v>106</v>
      </c>
      <c r="B12" s="43">
        <f>(_2045_Volume/'Inputs &amp; Outputs'!C26)^(1/(2045-2018))-1</f>
        <v>2.1022038265412046E-2</v>
      </c>
      <c r="D12" s="64" t="s">
        <v>135</v>
      </c>
      <c r="E12" s="100">
        <f>IF('Inputs &amp; Outputs'!$C$8='CRASH RATES'!$D$3, VLOOKUP('Inputs &amp; Outputs'!$C$7,'CRASH RATES'!$C$14:$J$21,5,FALSE), VLOOKUP('Inputs &amp; Outputs'!$C$7,'CRASH RATES'!$C$28:$J$35,5,FALSE))</f>
        <v>41.371328204126556</v>
      </c>
      <c r="F12" s="83"/>
      <c r="M12" s="60">
        <f t="shared" si="1"/>
        <v>2026</v>
      </c>
      <c r="N12" s="53">
        <f t="shared" ref="N12:N36" si="6">IFERROR(_2025_2045_Demand_Growth,_2018_2045_Demand_Growth)</f>
        <v>2.4794122516786921E-2</v>
      </c>
      <c r="O12" s="55">
        <f t="shared" ref="O12:O36" si="7">O11*(1+IFERROR(_2025_2040_V_C_Growth,_2018_2045_V_C_Growth))</f>
        <v>0.29419109421406769</v>
      </c>
      <c r="P12" s="58">
        <f t="shared" si="4"/>
        <v>1</v>
      </c>
      <c r="Q12" s="119">
        <f>IF(M12=Year_Open_to_Traffic?,Calculations!$J$4,Calculations!Q11+Calculations!Q11*Calculations!N12*P12)</f>
        <v>36455.630637682742</v>
      </c>
      <c r="R12" s="66">
        <f t="shared" si="0"/>
        <v>1</v>
      </c>
      <c r="S12" s="119">
        <f t="shared" si="5"/>
        <v>36.455630637682745</v>
      </c>
      <c r="T12" s="40">
        <f>S12/(1+'Assumed Values'!$C$6)^(Calculations!M12-'Assumed Values'!$C$5)</f>
        <v>21.217508943791515</v>
      </c>
    </row>
    <row r="13" spans="1:20" x14ac:dyDescent="0.3">
      <c r="A13" s="16" t="s">
        <v>75</v>
      </c>
      <c r="B13" s="21">
        <f>'Inputs &amp; Outputs'!C26/_2018_Capacity</f>
        <v>0.26716359356610436</v>
      </c>
      <c r="D13" s="64" t="s">
        <v>136</v>
      </c>
      <c r="E13" s="100">
        <f>IF('Inputs &amp; Outputs'!$C$8='CRASH RATES'!$D$3, VLOOKUP('Inputs &amp; Outputs'!$C$7,'CRASH RATES'!$C$14:$J$21,6,FALSE), VLOOKUP('Inputs &amp; Outputs'!$C$7,'CRASH RATES'!$C$28:$J$35,6,FALSE))</f>
        <v>63.089495333659421</v>
      </c>
      <c r="F13" s="83"/>
      <c r="M13" s="13">
        <f t="shared" si="1"/>
        <v>2027</v>
      </c>
      <c r="N13" s="53">
        <f t="shared" si="6"/>
        <v>2.4794122516786921E-2</v>
      </c>
      <c r="O13" s="55">
        <f t="shared" si="7"/>
        <v>0.30148530424735887</v>
      </c>
      <c r="P13" s="58">
        <f t="shared" si="4"/>
        <v>1</v>
      </c>
      <c r="Q13" s="119">
        <f>IF(M13=Year_Open_to_Traffic?,Calculations!$J$4,Calculations!Q12+Calculations!Q12*Calculations!N13*P13)</f>
        <v>37359.516010140178</v>
      </c>
      <c r="R13" s="66">
        <f t="shared" si="0"/>
        <v>1</v>
      </c>
      <c r="S13" s="119">
        <f t="shared" si="5"/>
        <v>37.359516010140176</v>
      </c>
      <c r="T13" s="40">
        <f>S13/(1+'Assumed Values'!$C$6)^(Calculations!M13-'Assumed Values'!$C$5)</f>
        <v>20.321101364527944</v>
      </c>
    </row>
    <row r="14" spans="1:20" x14ac:dyDescent="0.3">
      <c r="A14" s="16" t="s">
        <v>74</v>
      </c>
      <c r="B14" s="21">
        <f>_2025_Volume/_2025_Capacity</f>
        <v>0.28707336210278539</v>
      </c>
      <c r="D14" s="64" t="s">
        <v>137</v>
      </c>
      <c r="E14" s="100">
        <f>IF('Inputs &amp; Outputs'!$C$8='CRASH RATES'!$D$3, VLOOKUP('Inputs &amp; Outputs'!$C$7,'CRASH RATES'!$C$14:$J$21,7,FALSE), VLOOKUP('Inputs &amp; Outputs'!$C$7,'CRASH RATES'!$C$28:$J$35,7,FALSE))</f>
        <v>590.98337079199359</v>
      </c>
      <c r="F14" s="83"/>
      <c r="M14" s="60">
        <f>M13+1</f>
        <v>2028</v>
      </c>
      <c r="N14" s="53">
        <f t="shared" si="6"/>
        <v>2.4794122516786921E-2</v>
      </c>
      <c r="O14" s="55">
        <f>O13*(1+IFERROR(_2025_2040_V_C_Growth,_2018_2045_V_C_Growth))</f>
        <v>0.30896036781787867</v>
      </c>
      <c r="P14" s="58">
        <f t="shared" si="4"/>
        <v>1</v>
      </c>
      <c r="Q14" s="119">
        <f>IF(M14=Year_Open_to_Traffic?,Calculations!$J$4,Calculations!Q13+Calculations!Q13*Calculations!N14*P14)</f>
        <v>38285.81242726346</v>
      </c>
      <c r="R14" s="66">
        <f t="shared" si="0"/>
        <v>1</v>
      </c>
      <c r="S14" s="119">
        <f t="shared" si="5"/>
        <v>38.285812427263458</v>
      </c>
      <c r="T14" s="40">
        <f>S14/(1+'Assumed Values'!$C$6)^(Calculations!M14-'Assumed Values'!$C$5)</f>
        <v>19.462565646201959</v>
      </c>
    </row>
    <row r="15" spans="1:20" x14ac:dyDescent="0.3">
      <c r="A15" s="16" t="s">
        <v>140</v>
      </c>
      <c r="B15" s="21">
        <f>_2045_Volume/_2045_Capacity</f>
        <v>0.46851706551588856</v>
      </c>
      <c r="D15" s="64" t="s">
        <v>138</v>
      </c>
      <c r="E15" s="100">
        <f>IF('Inputs &amp; Outputs'!$C$8='CRASH RATES'!$D$3, VLOOKUP('Inputs &amp; Outputs'!$C$7,'CRASH RATES'!$C$14:$J$21,8,FALSE), VLOOKUP('Inputs &amp; Outputs'!$C$7,'CRASH RATES'!$C$28:$J$35,8,FALSE))</f>
        <v>22.750670157002467</v>
      </c>
      <c r="F15" s="83"/>
      <c r="M15" s="13">
        <f>M14+1</f>
        <v>2029</v>
      </c>
      <c r="N15" s="53">
        <f t="shared" si="6"/>
        <v>2.4794122516786921E-2</v>
      </c>
      <c r="O15" s="55">
        <f>O14*(1+IFERROR(_2025_2040_V_C_Growth,_2018_2045_V_C_Growth))</f>
        <v>0.31662076903038672</v>
      </c>
      <c r="P15" s="58">
        <f t="shared" si="4"/>
        <v>1</v>
      </c>
      <c r="Q15" s="119">
        <f>IF(M15=Year_Open_to_Traffic?,Calculations!$J$4,Calculations!Q14+Calculations!Q14*Calculations!N15*P15)</f>
        <v>39235.075551239752</v>
      </c>
      <c r="R15" s="66">
        <f t="shared" si="0"/>
        <v>1</v>
      </c>
      <c r="S15" s="119">
        <f t="shared" si="5"/>
        <v>39.235075551239753</v>
      </c>
      <c r="T15" s="40">
        <f>S15/(1+'Assumed Values'!$C$6)^(Calculations!M15-'Assumed Values'!$C$5)</f>
        <v>18.640301760116728</v>
      </c>
    </row>
    <row r="16" spans="1:20" x14ac:dyDescent="0.3">
      <c r="A16" s="16" t="s">
        <v>80</v>
      </c>
      <c r="B16" s="43">
        <f>(B14/B13)^(1/(2025-2018))-1</f>
        <v>1.0320986207323912E-2</v>
      </c>
      <c r="M16" s="60">
        <f t="shared" si="1"/>
        <v>2030</v>
      </c>
      <c r="N16" s="53">
        <f t="shared" si="6"/>
        <v>2.4794122516786921E-2</v>
      </c>
      <c r="O16" s="55">
        <f t="shared" si="7"/>
        <v>0.3244711031690854</v>
      </c>
      <c r="P16" s="58">
        <f t="shared" si="4"/>
        <v>1</v>
      </c>
      <c r="Q16" s="119">
        <f>IF(M16=Year_Open_to_Traffic?,Calculations!$J$4,Calculations!Q15+Calculations!Q15*Calculations!N16*P16)</f>
        <v>40207.874821412581</v>
      </c>
      <c r="R16" s="66">
        <f t="shared" si="0"/>
        <v>1</v>
      </c>
      <c r="S16" s="119">
        <f t="shared" si="5"/>
        <v>40.207874821412581</v>
      </c>
      <c r="T16" s="40">
        <f>S16/(1+'Assumed Values'!$C$6)^(Calculations!M16-'Assumed Values'!$C$5)</f>
        <v>17.852777276361628</v>
      </c>
    </row>
    <row r="17" spans="1:20" x14ac:dyDescent="0.3">
      <c r="A17" s="16" t="s">
        <v>107</v>
      </c>
      <c r="B17" s="43">
        <f>(B15/B14)^(1/(2045-2025))-1</f>
        <v>2.4794122516786921E-2</v>
      </c>
      <c r="M17" s="13">
        <f t="shared" si="1"/>
        <v>2031</v>
      </c>
      <c r="N17" s="53">
        <f t="shared" si="6"/>
        <v>2.4794122516786921E-2</v>
      </c>
      <c r="O17" s="55">
        <f t="shared" si="7"/>
        <v>0.33251607945421668</v>
      </c>
      <c r="P17" s="58">
        <f t="shared" si="4"/>
        <v>1</v>
      </c>
      <c r="Q17" s="119">
        <f>IF(M17=Year_Open_to_Traffic?,Calculations!$J$4,Calculations!Q16+Calculations!Q16*Calculations!N17*P17)</f>
        <v>41204.793795874313</v>
      </c>
      <c r="R17" s="66">
        <f t="shared" si="0"/>
        <v>1</v>
      </c>
      <c r="S17" s="119">
        <f t="shared" si="5"/>
        <v>41.204793795874316</v>
      </c>
      <c r="T17" s="40">
        <f>S17/(1+'Assumed Values'!$C$6)^(Calculations!M17-'Assumed Values'!$C$5)</f>
        <v>17.098524507866024</v>
      </c>
    </row>
    <row r="18" spans="1:20" x14ac:dyDescent="0.3">
      <c r="A18" s="16" t="s">
        <v>108</v>
      </c>
      <c r="B18" s="43">
        <f>(B15/B13)^(1/(2045-2018))-1</f>
        <v>2.1022038265412046E-2</v>
      </c>
      <c r="D18" s="109" t="s">
        <v>175</v>
      </c>
      <c r="E18" s="82"/>
      <c r="M18" s="60">
        <f t="shared" si="1"/>
        <v>2032</v>
      </c>
      <c r="N18" s="53">
        <f t="shared" si="6"/>
        <v>2.4794122516786921E-2</v>
      </c>
      <c r="O18" s="55">
        <f t="shared" si="7"/>
        <v>0.34076052386700617</v>
      </c>
      <c r="P18" s="58">
        <f t="shared" si="4"/>
        <v>1</v>
      </c>
      <c r="Q18" s="119">
        <f>IF(M18=Year_Open_to_Traffic?,Calculations!$J$4,Calculations!Q17+Calculations!Q17*Calculations!N18*P18)</f>
        <v>42226.430501528164</v>
      </c>
      <c r="R18" s="66">
        <f t="shared" si="0"/>
        <v>0</v>
      </c>
      <c r="S18" s="119">
        <f t="shared" si="5"/>
        <v>0</v>
      </c>
      <c r="T18" s="40">
        <f>S18/(1+'Assumed Values'!$C$6)^(Calculations!M18-'Assumed Values'!$C$5)</f>
        <v>0</v>
      </c>
    </row>
    <row r="19" spans="1:20" x14ac:dyDescent="0.3">
      <c r="D19" s="64" t="s">
        <v>89</v>
      </c>
      <c r="E19" s="106">
        <f>(Calculations!$E$6*Death_Rate)/100000000</f>
        <v>1.5399791619632355E-3</v>
      </c>
      <c r="M19" s="13">
        <f t="shared" si="1"/>
        <v>2033</v>
      </c>
      <c r="N19" s="53">
        <f t="shared" si="6"/>
        <v>2.4794122516786921E-2</v>
      </c>
      <c r="O19" s="55">
        <f t="shared" si="7"/>
        <v>0.34920938204464924</v>
      </c>
      <c r="P19" s="58">
        <f t="shared" si="4"/>
        <v>1</v>
      </c>
      <c r="Q19" s="119">
        <f>IF(M19=Year_Open_to_Traffic?,Calculations!$J$4,Calculations!Q18+Calculations!Q18*Calculations!N19*P19)</f>
        <v>43273.397792829644</v>
      </c>
      <c r="R19" s="66">
        <f t="shared" si="0"/>
        <v>0</v>
      </c>
      <c r="S19" s="119">
        <f t="shared" si="5"/>
        <v>0</v>
      </c>
      <c r="T19" s="40">
        <f>S19/(1+'Assumed Values'!$C$6)^(Calculations!M19-'Assumed Values'!$C$5)</f>
        <v>0</v>
      </c>
    </row>
    <row r="20" spans="1:20" x14ac:dyDescent="0.3">
      <c r="D20" s="64" t="s">
        <v>94</v>
      </c>
      <c r="E20" s="106">
        <f>(Calculations!$E$6*Incap_Injry_Rate)/100000000</f>
        <v>9.6330611407913023E-3</v>
      </c>
      <c r="M20" s="60">
        <f t="shared" si="1"/>
        <v>2034</v>
      </c>
      <c r="N20" s="53">
        <f t="shared" si="6"/>
        <v>2.4794122516786921E-2</v>
      </c>
      <c r="O20" s="55">
        <f t="shared" si="7"/>
        <v>0.35786772224707575</v>
      </c>
      <c r="P20" s="58">
        <f t="shared" si="4"/>
        <v>1</v>
      </c>
      <c r="Q20" s="119">
        <f>IF(M20=Year_Open_to_Traffic?,Calculations!$J$4,Calculations!Q19+Calculations!Q19*Calculations!N20*P20)</f>
        <v>44346.323719422719</v>
      </c>
      <c r="R20" s="66">
        <f t="shared" si="0"/>
        <v>0</v>
      </c>
      <c r="S20" s="119">
        <f t="shared" si="5"/>
        <v>0</v>
      </c>
      <c r="T20" s="40">
        <f>S20/(1+'Assumed Values'!$C$6)^(Calculations!M20-'Assumed Values'!$C$5)</f>
        <v>0</v>
      </c>
    </row>
    <row r="21" spans="1:20" x14ac:dyDescent="0.3">
      <c r="D21" s="64" t="s">
        <v>93</v>
      </c>
      <c r="E21" s="106">
        <f>(Calculations!$E$6*Nonincap_Injry_Rate)/100000000</f>
        <v>3.8073527365984669E-2</v>
      </c>
      <c r="M21" s="13">
        <f>M20+1</f>
        <v>2035</v>
      </c>
      <c r="N21" s="53">
        <f t="shared" si="6"/>
        <v>2.4794122516786921E-2</v>
      </c>
      <c r="O21" s="55">
        <f>O20*(1+IFERROR(_2025_2040_V_C_Growth,_2018_2045_V_C_Growth))</f>
        <v>0.36674073839727322</v>
      </c>
      <c r="P21" s="58">
        <f t="shared" si="4"/>
        <v>1</v>
      </c>
      <c r="Q21" s="119">
        <f>IF(M21=Year_Open_to_Traffic?,Calculations!$J$4,Calculations!Q20+Calculations!Q20*Calculations!N21*P21)</f>
        <v>45445.851902891176</v>
      </c>
      <c r="R21" s="66">
        <f t="shared" si="0"/>
        <v>0</v>
      </c>
      <c r="S21" s="119">
        <f t="shared" si="5"/>
        <v>0</v>
      </c>
      <c r="T21" s="40">
        <f>S21/(1+'Assumed Values'!$C$6)^(Calculations!M21-'Assumed Values'!$C$5)</f>
        <v>0</v>
      </c>
    </row>
    <row r="22" spans="1:20" x14ac:dyDescent="0.3">
      <c r="D22" s="64" t="s">
        <v>92</v>
      </c>
      <c r="E22" s="106">
        <f>(Calculations!$E$6*Poss_Injry_Rate)/100000000</f>
        <v>5.8060490957422398E-2</v>
      </c>
      <c r="M22" s="60">
        <f>M21+1</f>
        <v>2036</v>
      </c>
      <c r="N22" s="53">
        <f t="shared" si="6"/>
        <v>2.4794122516786921E-2</v>
      </c>
      <c r="O22" s="55">
        <f t="shared" si="7"/>
        <v>0.37583375319699214</v>
      </c>
      <c r="P22" s="58">
        <f t="shared" si="4"/>
        <v>1</v>
      </c>
      <c r="Q22" s="119">
        <f>IF(M22=Year_Open_to_Traffic?,Calculations!$J$4,Calculations!Q21+Calculations!Q21*Calculations!N22*P22)</f>
        <v>46572.641922851217</v>
      </c>
      <c r="R22" s="66">
        <f t="shared" si="0"/>
        <v>0</v>
      </c>
      <c r="S22" s="119">
        <f t="shared" si="5"/>
        <v>0</v>
      </c>
      <c r="T22" s="40">
        <f>S22/(1+'Assumed Values'!$C$6)^(Calculations!M22-'Assumed Values'!$C$5)</f>
        <v>0</v>
      </c>
    </row>
    <row r="23" spans="1:20" x14ac:dyDescent="0.3">
      <c r="D23" s="64" t="s">
        <v>91</v>
      </c>
      <c r="E23" s="106">
        <f>(Calculations!$E$6*Non_Injry_Rate)/100000000</f>
        <v>0.54387476828569659</v>
      </c>
      <c r="M23" s="13">
        <f t="shared" si="1"/>
        <v>2037</v>
      </c>
      <c r="N23" s="53">
        <f t="shared" si="6"/>
        <v>2.4794122516786921E-2</v>
      </c>
      <c r="O23" s="55">
        <f t="shared" si="7"/>
        <v>0.38515222131970223</v>
      </c>
      <c r="P23" s="58">
        <f t="shared" si="4"/>
        <v>1</v>
      </c>
      <c r="Q23" s="119">
        <f>IF(M23=Year_Open_to_Traffic?,Calculations!$J$4,Calculations!Q22+Calculations!Q22*Calculations!N23*P23)</f>
        <v>47727.369712616834</v>
      </c>
      <c r="R23" s="66">
        <f t="shared" si="0"/>
        <v>0</v>
      </c>
      <c r="S23" s="119">
        <f t="shared" si="5"/>
        <v>0</v>
      </c>
      <c r="T23" s="40">
        <f>S23/(1+'Assumed Values'!$C$6)^(Calculations!M23-'Assumed Values'!$C$5)</f>
        <v>0</v>
      </c>
    </row>
    <row r="24" spans="1:20" x14ac:dyDescent="0.3">
      <c r="D24" s="64" t="s">
        <v>90</v>
      </c>
      <c r="E24" s="106">
        <f>(Calculations!$E$6*Unkn_Injry_Rate)/100000000</f>
        <v>2.0937163499883133E-2</v>
      </c>
      <c r="M24" s="60">
        <f t="shared" si="1"/>
        <v>2038</v>
      </c>
      <c r="N24" s="53">
        <f t="shared" si="6"/>
        <v>2.4794122516786921E-2</v>
      </c>
      <c r="O24" s="55">
        <f t="shared" si="7"/>
        <v>0.39470173268271558</v>
      </c>
      <c r="P24" s="58">
        <f t="shared" si="4"/>
        <v>1</v>
      </c>
      <c r="Q24" s="119">
        <f>IF(M24=Year_Open_to_Traffic?,Calculations!$J$4,Calculations!Q23+Calculations!Q23*Calculations!N24*P24)</f>
        <v>48910.72796467544</v>
      </c>
      <c r="R24" s="66">
        <f t="shared" si="0"/>
        <v>0</v>
      </c>
      <c r="S24" s="119">
        <f t="shared" si="5"/>
        <v>0</v>
      </c>
      <c r="T24" s="40">
        <f>S24/(1+'Assumed Values'!$C$6)^(Calculations!M24-'Assumed Values'!$C$5)</f>
        <v>0</v>
      </c>
    </row>
    <row r="25" spans="1:20" x14ac:dyDescent="0.3">
      <c r="M25" s="13">
        <f t="shared" si="1"/>
        <v>2039</v>
      </c>
      <c r="N25" s="53">
        <f t="shared" si="6"/>
        <v>2.4794122516786921E-2</v>
      </c>
      <c r="O25" s="55">
        <f t="shared" si="7"/>
        <v>0.40448801580043892</v>
      </c>
      <c r="P25" s="58">
        <f t="shared" si="4"/>
        <v>1</v>
      </c>
      <c r="Q25" s="119">
        <f>IF(M25=Year_Open_to_Traffic?,Calculations!$J$4,Calculations!Q24+Calculations!Q24*Calculations!N25*P25)</f>
        <v>50123.426546216841</v>
      </c>
      <c r="R25" s="66">
        <f t="shared" si="0"/>
        <v>0</v>
      </c>
      <c r="S25" s="119">
        <f t="shared" si="5"/>
        <v>0</v>
      </c>
      <c r="T25" s="40">
        <f>S25/(1+'Assumed Values'!$C$6)^(Calculations!M25-'Assumed Values'!$C$5)</f>
        <v>0</v>
      </c>
    </row>
    <row r="26" spans="1:20" x14ac:dyDescent="0.3">
      <c r="A26" s="117" t="s">
        <v>99</v>
      </c>
      <c r="B26" s="117"/>
      <c r="D26" s="110" t="s">
        <v>89</v>
      </c>
      <c r="E26" s="110" t="s">
        <v>94</v>
      </c>
      <c r="F26" s="110" t="s">
        <v>93</v>
      </c>
      <c r="G26" s="110" t="s">
        <v>92</v>
      </c>
      <c r="H26" s="110" t="s">
        <v>91</v>
      </c>
      <c r="I26" s="110" t="s">
        <v>90</v>
      </c>
      <c r="J26" s="118" t="s">
        <v>100</v>
      </c>
      <c r="M26" s="60">
        <f t="shared" si="1"/>
        <v>2040</v>
      </c>
      <c r="N26" s="53">
        <f t="shared" si="6"/>
        <v>2.4794122516786921E-2</v>
      </c>
      <c r="O26" s="55">
        <f t="shared" si="7"/>
        <v>0.41451694122076704</v>
      </c>
      <c r="P26" s="58">
        <f t="shared" si="4"/>
        <v>1</v>
      </c>
      <c r="Q26" s="119">
        <f>IF(M26=Year_Open_to_Traffic?,Calculations!$J$4,Calculations!Q25+Calculations!Q25*Calculations!N26*P26)</f>
        <v>51366.192924964911</v>
      </c>
      <c r="R26" s="66">
        <f t="shared" si="0"/>
        <v>0</v>
      </c>
      <c r="S26" s="119">
        <f t="shared" si="5"/>
        <v>0</v>
      </c>
      <c r="T26" s="40">
        <f>S26/(1+'Assumed Values'!$C$6)^(Calculations!M26-'Assumed Values'!$C$5)</f>
        <v>0</v>
      </c>
    </row>
    <row r="27" spans="1:20" x14ac:dyDescent="0.3">
      <c r="A27" s="117"/>
      <c r="B27" s="117"/>
      <c r="D27" s="70">
        <f>Calculations!E19</f>
        <v>1.5399791619632355E-3</v>
      </c>
      <c r="E27" s="70">
        <f>Calculations!E20</f>
        <v>9.6330611407913023E-3</v>
      </c>
      <c r="F27" s="70">
        <f>Calculations!E21</f>
        <v>3.8073527365984669E-2</v>
      </c>
      <c r="G27" s="70">
        <f>Calculations!E22</f>
        <v>5.8060490957422398E-2</v>
      </c>
      <c r="H27" s="70">
        <f>Calculations!E23</f>
        <v>0.54387476828569659</v>
      </c>
      <c r="I27" s="70">
        <f>Calculations!E24</f>
        <v>2.0937163499883133E-2</v>
      </c>
      <c r="J27" s="118"/>
      <c r="L27" s="103"/>
      <c r="M27" s="13">
        <f t="shared" si="1"/>
        <v>2041</v>
      </c>
      <c r="N27" s="53">
        <f t="shared" si="6"/>
        <v>2.4794122516786921E-2</v>
      </c>
      <c r="O27" s="55">
        <f t="shared" si="7"/>
        <v>0.42479452504667853</v>
      </c>
      <c r="P27" s="58">
        <f t="shared" si="4"/>
        <v>1</v>
      </c>
      <c r="Q27" s="119">
        <f>IF(M27=Year_Open_to_Traffic?,Calculations!$J$4,Calculations!Q26+Calculations!Q26*Calculations!N27*P27)</f>
        <v>52639.772605567407</v>
      </c>
      <c r="R27" s="66">
        <f t="shared" si="0"/>
        <v>0</v>
      </c>
      <c r="S27" s="119">
        <f t="shared" si="5"/>
        <v>0</v>
      </c>
      <c r="T27" s="40">
        <f>S27/(1+'Assumed Values'!$C$6)^(Calculations!M27-'Assumed Values'!$C$5)</f>
        <v>0</v>
      </c>
    </row>
    <row r="28" spans="1:20" x14ac:dyDescent="0.3">
      <c r="A28" s="49" t="s">
        <v>95</v>
      </c>
      <c r="B28" s="67" t="s">
        <v>96</v>
      </c>
      <c r="D28" s="71">
        <f>D$27*'Value of Statistical Life'!D17</f>
        <v>0</v>
      </c>
      <c r="E28" s="71">
        <f>E$27*'Value of Statistical Life'!E17</f>
        <v>3.3108831140899706E-4</v>
      </c>
      <c r="F28" s="71">
        <f>F$27*'Value of Statistical Life'!F17</f>
        <v>3.1779973292387406E-3</v>
      </c>
      <c r="G28" s="71">
        <f>G$27*'Value of Statistical Life'!G17</f>
        <v>1.3607637265691088E-2</v>
      </c>
      <c r="H28" s="71">
        <f>H$27*'Value of Statistical Life'!H17</f>
        <v>0.50326907808548649</v>
      </c>
      <c r="I28" s="71">
        <f>I$27*'Value of Statistical Life'!I17</f>
        <v>9.1445155302089572E-3</v>
      </c>
      <c r="J28" s="71">
        <f>SUM(D28:I28)</f>
        <v>0.52953031652203431</v>
      </c>
      <c r="K28" s="99"/>
      <c r="L28" s="103"/>
      <c r="M28" s="60">
        <f t="shared" si="1"/>
        <v>2042</v>
      </c>
      <c r="N28" s="53">
        <f t="shared" si="6"/>
        <v>2.4794122516786921E-2</v>
      </c>
      <c r="O28" s="55">
        <f t="shared" si="7"/>
        <v>0.43532693254514621</v>
      </c>
      <c r="P28" s="58">
        <f t="shared" si="4"/>
        <v>1</v>
      </c>
      <c r="Q28" s="119">
        <f>IF(M28=Year_Open_to_Traffic?,Calculations!$J$4,Calculations!Q27+Calculations!Q27*Calculations!N28*P28)</f>
        <v>53944.929576805647</v>
      </c>
      <c r="R28" s="66">
        <f t="shared" si="0"/>
        <v>0</v>
      </c>
      <c r="S28" s="119">
        <f t="shared" si="5"/>
        <v>0</v>
      </c>
      <c r="T28" s="40">
        <f>S28/(1+'Assumed Values'!$C$6)^(Calculations!M28-'Assumed Values'!$C$5)</f>
        <v>0</v>
      </c>
    </row>
    <row r="29" spans="1:20" x14ac:dyDescent="0.3">
      <c r="A29" s="49" t="s">
        <v>61</v>
      </c>
      <c r="B29" s="50" t="s">
        <v>62</v>
      </c>
      <c r="D29" s="71">
        <f>D$27*'Value of Statistical Life'!D18</f>
        <v>0</v>
      </c>
      <c r="E29" s="71">
        <f>E$27*'Value of Statistical Life'!E18</f>
        <v>5.3414360719573695E-3</v>
      </c>
      <c r="F29" s="71">
        <f>F$27*'Value of Statistical Life'!F18</f>
        <v>2.9256840633843598E-2</v>
      </c>
      <c r="G29" s="71">
        <f>G$27*'Value of Statistical Life'!G18</f>
        <v>4.0030386095504446E-2</v>
      </c>
      <c r="H29" s="71">
        <f>H$27*'Value of Statistical Life'!H18</f>
        <v>3.9468991934492999E-2</v>
      </c>
      <c r="I29" s="71">
        <f>I$27*'Value of Statistical Life'!I18</f>
        <v>8.73896267321622E-3</v>
      </c>
      <c r="J29" s="71">
        <f t="shared" ref="J29:J34" si="8">SUM(D29:I29)</f>
        <v>0.12283661740901464</v>
      </c>
      <c r="K29" s="99"/>
      <c r="L29" s="103"/>
      <c r="M29" s="13">
        <f t="shared" si="1"/>
        <v>2043</v>
      </c>
      <c r="N29" s="53">
        <f t="shared" si="6"/>
        <v>2.4794122516786921E-2</v>
      </c>
      <c r="O29" s="55">
        <f t="shared" si="7"/>
        <v>0.44612048184552761</v>
      </c>
      <c r="P29" s="58">
        <f t="shared" si="4"/>
        <v>1</v>
      </c>
      <c r="Q29" s="119">
        <f>IF(M29=Year_Open_to_Traffic?,Calculations!$J$4,Calculations!Q28+Calculations!Q28*Calculations!N29*P29)</f>
        <v>55282.446769892405</v>
      </c>
      <c r="R29" s="66">
        <f t="shared" si="0"/>
        <v>0</v>
      </c>
      <c r="S29" s="119">
        <f t="shared" si="5"/>
        <v>0</v>
      </c>
      <c r="T29" s="40">
        <f>S29/(1+'Assumed Values'!$C$6)^(Calculations!M29-'Assumed Values'!$C$5)</f>
        <v>0</v>
      </c>
    </row>
    <row r="30" spans="1:20" x14ac:dyDescent="0.3">
      <c r="A30" s="49" t="s">
        <v>63</v>
      </c>
      <c r="B30" s="50" t="s">
        <v>64</v>
      </c>
      <c r="D30" s="71">
        <f>D$27*'Value of Statistical Life'!D19</f>
        <v>0</v>
      </c>
      <c r="E30" s="71">
        <f>E$27*'Value of Statistical Life'!E19</f>
        <v>2.0140804233166453E-3</v>
      </c>
      <c r="F30" s="71">
        <f>F$27*'Value of Statistical Life'!F19</f>
        <v>4.149253012345009E-3</v>
      </c>
      <c r="G30" s="71">
        <f>G$27*'Value of Statistical Life'!G19</f>
        <v>3.7106459770888649E-3</v>
      </c>
      <c r="H30" s="71">
        <f>H$27*'Value of Statistical Life'!H19</f>
        <v>1.0768720412056793E-3</v>
      </c>
      <c r="I30" s="71">
        <f>I$27*'Value of Statistical Life'!I19</f>
        <v>1.8575451457096314E-3</v>
      </c>
      <c r="J30" s="71">
        <f t="shared" si="8"/>
        <v>1.2808396599665831E-2</v>
      </c>
      <c r="K30" s="99"/>
      <c r="L30" s="103"/>
      <c r="M30" s="13">
        <f t="shared" si="1"/>
        <v>2044</v>
      </c>
      <c r="N30" s="53">
        <f t="shared" si="6"/>
        <v>2.4794122516786921E-2</v>
      </c>
      <c r="O30" s="55">
        <f t="shared" si="7"/>
        <v>0.45718164772965364</v>
      </c>
      <c r="P30" s="58">
        <f t="shared" si="4"/>
        <v>1</v>
      </c>
      <c r="Q30" s="119">
        <f>IF(M30=Year_Open_to_Traffic?,Calculations!$J$4,Calculations!Q29+Calculations!Q29*Calculations!N30*P30)</f>
        <v>56653.126528132867</v>
      </c>
      <c r="R30" s="66">
        <f t="shared" si="0"/>
        <v>0</v>
      </c>
      <c r="S30" s="119">
        <f t="shared" si="5"/>
        <v>0</v>
      </c>
      <c r="T30" s="40">
        <f>S30/(1+'Assumed Values'!$C$6)^(Calculations!M30-'Assumed Values'!$C$5)</f>
        <v>0</v>
      </c>
    </row>
    <row r="31" spans="1:20" x14ac:dyDescent="0.3">
      <c r="A31" s="49" t="s">
        <v>65</v>
      </c>
      <c r="B31" s="50" t="s">
        <v>66</v>
      </c>
      <c r="D31" s="71">
        <f>D$27*'Value of Statistical Life'!D20</f>
        <v>0</v>
      </c>
      <c r="E31" s="71">
        <f>E$27*'Value of Statistical Life'!E20</f>
        <v>1.3907250368960403E-3</v>
      </c>
      <c r="F31" s="71">
        <f>F$27*'Value of Statistical Life'!F20</f>
        <v>1.2149262582485708E-3</v>
      </c>
      <c r="G31" s="71">
        <f>G$27*'Value of Statistical Life'!G20</f>
        <v>6.2182785815399397E-4</v>
      </c>
      <c r="H31" s="71">
        <f>H$27*'Value of Statistical Life'!H20</f>
        <v>4.3509981462855729E-5</v>
      </c>
      <c r="I31" s="71">
        <f>I$27*'Value of Statistical Life'!I20</f>
        <v>1.0085431657893705E-3</v>
      </c>
      <c r="J31" s="71">
        <f t="shared" si="8"/>
        <v>4.2795323005508307E-3</v>
      </c>
      <c r="K31" s="99"/>
      <c r="L31" s="103"/>
      <c r="M31" s="13">
        <f t="shared" si="1"/>
        <v>2045</v>
      </c>
      <c r="N31" s="53">
        <f t="shared" si="6"/>
        <v>2.4794122516786921E-2</v>
      </c>
      <c r="O31" s="55">
        <f t="shared" si="7"/>
        <v>0.46851706551588918</v>
      </c>
      <c r="P31" s="58">
        <f t="shared" si="4"/>
        <v>1</v>
      </c>
      <c r="Q31" s="119">
        <f>IF(M31=Year_Open_to_Traffic?,Calculations!$J$4,Calculations!Q30+Calculations!Q30*Calculations!N31*P31)</f>
        <v>58057.791088230428</v>
      </c>
      <c r="R31" s="66">
        <f t="shared" si="0"/>
        <v>0</v>
      </c>
      <c r="S31" s="119">
        <f t="shared" si="5"/>
        <v>0</v>
      </c>
      <c r="T31" s="40">
        <f>S31/(1+'Assumed Values'!$C$6)^(Calculations!M31-'Assumed Values'!$C$5)</f>
        <v>0</v>
      </c>
    </row>
    <row r="32" spans="1:20" x14ac:dyDescent="0.3">
      <c r="A32" s="49" t="s">
        <v>67</v>
      </c>
      <c r="B32" s="50" t="s">
        <v>68</v>
      </c>
      <c r="D32" s="71">
        <f>D$27*'Value of Statistical Life'!D21</f>
        <v>0</v>
      </c>
      <c r="E32" s="71">
        <f>E$27*'Value of Statistical Life'!E21</f>
        <v>3.8397381707194132E-4</v>
      </c>
      <c r="F32" s="71">
        <f>F$27*'Value of Statistical Life'!F21</f>
        <v>2.3605586966910495E-4</v>
      </c>
      <c r="G32" s="71">
        <f>G$27*'Value of Statistical Life'!G21</f>
        <v>8.2445897159539802E-5</v>
      </c>
      <c r="H32" s="71">
        <f>H$27*'Value of Statistical Life'!H21</f>
        <v>0</v>
      </c>
      <c r="I32" s="71">
        <f>I$27*'Value of Statistical Life'!I21</f>
        <v>1.2918229879427894E-4</v>
      </c>
      <c r="J32" s="71">
        <f t="shared" si="8"/>
        <v>8.3165788269486498E-4</v>
      </c>
      <c r="K32" s="99"/>
      <c r="L32" s="103"/>
      <c r="M32" s="13">
        <f t="shared" si="1"/>
        <v>2046</v>
      </c>
      <c r="N32" s="53">
        <f t="shared" si="6"/>
        <v>2.4794122516786921E-2</v>
      </c>
      <c r="O32" s="55">
        <f t="shared" si="7"/>
        <v>0.48013353503949563</v>
      </c>
      <c r="P32" s="58">
        <f t="shared" si="4"/>
        <v>1</v>
      </c>
      <c r="Q32" s="119">
        <f>IF(M32=Year_Open_to_Traffic?,Calculations!$J$4,Calculations!Q31+Calculations!Q31*Calculations!N32*P32)</f>
        <v>59497.283073526036</v>
      </c>
      <c r="R32" s="66">
        <f t="shared" si="0"/>
        <v>0</v>
      </c>
      <c r="S32" s="119">
        <f t="shared" si="5"/>
        <v>0</v>
      </c>
      <c r="T32" s="40">
        <f>S32/(1+'Assumed Values'!$C$6)^(Calculations!M32-'Assumed Values'!$C$5)</f>
        <v>0</v>
      </c>
    </row>
    <row r="33" spans="1:20" x14ac:dyDescent="0.3">
      <c r="A33" s="49" t="s">
        <v>69</v>
      </c>
      <c r="B33" s="50" t="s">
        <v>70</v>
      </c>
      <c r="D33" s="71">
        <f>D$27*'Value of Statistical Life'!D22</f>
        <v>0</v>
      </c>
      <c r="E33" s="71">
        <f>E$27*'Value of Statistical Life'!E22</f>
        <v>1.7175748014030892E-4</v>
      </c>
      <c r="F33" s="71">
        <f>F$27*'Value of Statistical Life'!F22</f>
        <v>3.8454262639644518E-5</v>
      </c>
      <c r="G33" s="71">
        <f>G$27*'Value of Statistical Life'!G22</f>
        <v>7.5478638244649112E-6</v>
      </c>
      <c r="H33" s="71">
        <f>H$27*'Value of Statistical Life'!H22</f>
        <v>1.6316243048570898E-5</v>
      </c>
      <c r="I33" s="71">
        <f>I$27*'Value of Statistical Life'!I22</f>
        <v>5.8414686164673942E-5</v>
      </c>
      <c r="J33" s="71">
        <f t="shared" si="8"/>
        <v>2.924905358176632E-4</v>
      </c>
      <c r="K33" s="99"/>
      <c r="L33" s="103"/>
      <c r="M33" s="13">
        <f t="shared" si="1"/>
        <v>2047</v>
      </c>
      <c r="N33" s="53">
        <f t="shared" si="6"/>
        <v>2.4794122516786921E-2</v>
      </c>
      <c r="O33" s="55">
        <f t="shared" si="7"/>
        <v>0.4920380247316829</v>
      </c>
      <c r="P33" s="58">
        <f t="shared" si="4"/>
        <v>1</v>
      </c>
      <c r="Q33" s="119">
        <f>IF(M33=Year_Open_to_Traffic?,Calculations!$J$4,Calculations!Q32+Calculations!Q32*Calculations!N33*P33)</f>
        <v>60972.465999466993</v>
      </c>
      <c r="R33" s="66">
        <f t="shared" si="0"/>
        <v>0</v>
      </c>
      <c r="S33" s="119">
        <f t="shared" si="5"/>
        <v>0</v>
      </c>
      <c r="T33" s="40">
        <f>S33/(1+'Assumed Values'!$C$6)^(Calculations!M33-'Assumed Values'!$C$5)</f>
        <v>0</v>
      </c>
    </row>
    <row r="34" spans="1:20" x14ac:dyDescent="0.3">
      <c r="A34" s="49" t="s">
        <v>71</v>
      </c>
      <c r="B34" s="50" t="s">
        <v>72</v>
      </c>
      <c r="D34" s="71">
        <f>D$27*'Value of Statistical Life'!D23</f>
        <v>1.5399791619632355E-3</v>
      </c>
      <c r="E34" s="71">
        <f>E$27*'Value of Statistical Life'!E23</f>
        <v>0</v>
      </c>
      <c r="F34" s="71">
        <f>F$27*'Value of Statistical Life'!F23</f>
        <v>0</v>
      </c>
      <c r="G34" s="71">
        <f>G$27*'Value of Statistical Life'!G23</f>
        <v>0</v>
      </c>
      <c r="H34" s="71">
        <f>H$27*'Value of Statistical Life'!H23</f>
        <v>0</v>
      </c>
      <c r="I34" s="71">
        <f>I$27*'Value of Statistical Life'!I23</f>
        <v>0</v>
      </c>
      <c r="J34" s="71">
        <f t="shared" si="8"/>
        <v>1.5399791619632355E-3</v>
      </c>
      <c r="K34" s="99"/>
      <c r="L34" s="103"/>
      <c r="M34" s="13">
        <f t="shared" si="1"/>
        <v>2048</v>
      </c>
      <c r="N34" s="53">
        <f t="shared" si="6"/>
        <v>2.4794122516786921E-2</v>
      </c>
      <c r="O34" s="55">
        <f t="shared" si="7"/>
        <v>0.50423767579979806</v>
      </c>
      <c r="P34" s="58">
        <f t="shared" si="4"/>
        <v>1</v>
      </c>
      <c r="Q34" s="119">
        <f>IF(M34=Year_Open_to_Traffic?,Calculations!$J$4,Calculations!Q33+Calculations!Q33*Calculations!N34*P34)</f>
        <v>62484.224791608402</v>
      </c>
      <c r="R34" s="66">
        <f t="shared" si="0"/>
        <v>0</v>
      </c>
      <c r="S34" s="119">
        <f t="shared" si="5"/>
        <v>0</v>
      </c>
      <c r="T34" s="40">
        <f>S34/(1+'Assumed Values'!$C$6)^(Calculations!M34-'Assumed Values'!$C$5)</f>
        <v>0</v>
      </c>
    </row>
    <row r="35" spans="1:20" x14ac:dyDescent="0.3">
      <c r="J35" s="86"/>
      <c r="K35" s="98"/>
      <c r="M35" s="13">
        <f t="shared" si="1"/>
        <v>2049</v>
      </c>
      <c r="N35" s="53">
        <f t="shared" si="6"/>
        <v>2.4794122516786921E-2</v>
      </c>
      <c r="O35" s="55">
        <f t="shared" si="7"/>
        <v>0.51673980651115814</v>
      </c>
      <c r="P35" s="58">
        <f t="shared" si="4"/>
        <v>1</v>
      </c>
      <c r="Q35" s="119">
        <f>IF(M35=Year_Open_to_Traffic?,Calculations!$J$4,Calculations!Q34+Calculations!Q34*Calculations!N35*P35)</f>
        <v>64033.466316457998</v>
      </c>
      <c r="R35" s="66">
        <f t="shared" si="0"/>
        <v>0</v>
      </c>
      <c r="S35" s="119">
        <f t="shared" si="5"/>
        <v>0</v>
      </c>
      <c r="T35" s="40">
        <f>S35/(1+'Assumed Values'!$C$6)^(Calculations!M35-'Assumed Values'!$C$5)</f>
        <v>0</v>
      </c>
    </row>
    <row r="36" spans="1:20" x14ac:dyDescent="0.3">
      <c r="M36" s="13">
        <f t="shared" si="1"/>
        <v>2050</v>
      </c>
      <c r="N36" s="53">
        <f t="shared" si="6"/>
        <v>2.4794122516786921E-2</v>
      </c>
      <c r="O36" s="55">
        <f t="shared" si="7"/>
        <v>0.52955191658309653</v>
      </c>
      <c r="P36" s="58">
        <f t="shared" si="4"/>
        <v>1</v>
      </c>
      <c r="Q36" s="119">
        <f>IF(M36=Year_Open_to_Traffic?,Calculations!$J$4,Calculations!Q35+Calculations!Q35*Calculations!N36*P36)</f>
        <v>65621.11992548281</v>
      </c>
      <c r="R36" s="66">
        <f t="shared" si="0"/>
        <v>0</v>
      </c>
      <c r="S36" s="119">
        <f t="shared" si="5"/>
        <v>0</v>
      </c>
      <c r="T36" s="40">
        <f>S36/(1+'Assumed Values'!$C$6)^(Calculations!M36-'Assumed Values'!$C$5)</f>
        <v>0</v>
      </c>
    </row>
    <row r="37" spans="1:20" x14ac:dyDescent="0.3">
      <c r="D37" s="28"/>
      <c r="E37" s="28"/>
      <c r="F37" s="28"/>
      <c r="G37" s="28"/>
      <c r="H37" s="28"/>
      <c r="M37" s="50"/>
      <c r="N37" s="120"/>
      <c r="O37" s="121"/>
      <c r="P37" s="122"/>
      <c r="Q37" s="50"/>
      <c r="R37" s="50"/>
      <c r="S37" s="50"/>
      <c r="T37" s="40">
        <f>SUM(T4:T36)</f>
        <v>211.37191567104418</v>
      </c>
    </row>
    <row r="38" spans="1:20" x14ac:dyDescent="0.3">
      <c r="D38" s="28"/>
      <c r="E38" s="28"/>
      <c r="F38" s="28"/>
      <c r="G38" s="28"/>
      <c r="H38" s="28"/>
    </row>
    <row r="39" spans="1:20" x14ac:dyDescent="0.3">
      <c r="D39" s="28"/>
      <c r="E39" s="28"/>
      <c r="F39" s="28"/>
      <c r="G39" s="28"/>
      <c r="H39" s="28"/>
    </row>
    <row r="40" spans="1:20" x14ac:dyDescent="0.3">
      <c r="D40" s="28"/>
      <c r="E40" s="114"/>
      <c r="F40" s="115"/>
      <c r="G40" s="28"/>
      <c r="H40" s="28"/>
      <c r="J40" s="87"/>
    </row>
    <row r="41" spans="1:20" x14ac:dyDescent="0.3">
      <c r="D41" s="28"/>
      <c r="E41" s="114"/>
      <c r="F41" s="115"/>
      <c r="G41" s="28"/>
      <c r="H41" s="28"/>
      <c r="I41" s="85"/>
      <c r="J41" s="88"/>
      <c r="K41" s="85"/>
    </row>
    <row r="42" spans="1:20" x14ac:dyDescent="0.3">
      <c r="D42" s="28"/>
      <c r="E42" s="114"/>
      <c r="F42" s="115"/>
      <c r="G42" s="28"/>
      <c r="H42" s="28"/>
      <c r="I42" s="85"/>
      <c r="J42" s="88"/>
      <c r="K42" s="85"/>
      <c r="S42" s="77"/>
    </row>
    <row r="43" spans="1:20" x14ac:dyDescent="0.3">
      <c r="D43" s="28"/>
      <c r="E43" s="114"/>
      <c r="F43" s="115"/>
      <c r="G43" s="28"/>
      <c r="H43" s="28"/>
      <c r="I43" s="85"/>
      <c r="J43" s="88"/>
      <c r="K43" s="85"/>
    </row>
    <row r="44" spans="1:20" x14ac:dyDescent="0.3">
      <c r="D44" s="28"/>
      <c r="E44" s="114"/>
      <c r="F44" s="115"/>
      <c r="G44" s="28"/>
      <c r="H44" s="28"/>
      <c r="I44" s="85"/>
      <c r="J44" s="88"/>
      <c r="K44" s="85"/>
    </row>
    <row r="45" spans="1:20" x14ac:dyDescent="0.3">
      <c r="D45" s="28"/>
      <c r="E45" s="114"/>
      <c r="F45" s="115"/>
      <c r="G45" s="28"/>
      <c r="H45" s="28"/>
      <c r="I45" s="85"/>
      <c r="J45" s="88"/>
      <c r="K45" s="85"/>
    </row>
    <row r="46" spans="1:20" x14ac:dyDescent="0.3">
      <c r="D46" s="28"/>
      <c r="E46" s="114"/>
      <c r="F46" s="115"/>
      <c r="G46" s="28"/>
      <c r="H46" s="28"/>
      <c r="I46" s="85"/>
      <c r="J46" s="88"/>
      <c r="K46" s="85"/>
    </row>
    <row r="47" spans="1:20" x14ac:dyDescent="0.3">
      <c r="D47" s="28"/>
      <c r="E47" s="114"/>
      <c r="F47" s="115"/>
      <c r="G47" s="28"/>
      <c r="H47" s="28"/>
      <c r="I47" s="85"/>
      <c r="J47" s="88"/>
      <c r="K47" s="85"/>
    </row>
    <row r="48" spans="1:20" x14ac:dyDescent="0.3">
      <c r="D48" s="28"/>
      <c r="E48" s="114"/>
      <c r="F48" s="115"/>
      <c r="G48" s="28"/>
      <c r="H48" s="28"/>
      <c r="J48" s="87"/>
      <c r="K48" s="85"/>
    </row>
    <row r="49" spans="4:10" x14ac:dyDescent="0.3">
      <c r="D49" s="28"/>
      <c r="E49" s="114"/>
      <c r="F49" s="115"/>
      <c r="G49" s="28"/>
      <c r="H49" s="28"/>
      <c r="J49" s="87"/>
    </row>
    <row r="50" spans="4:10" x14ac:dyDescent="0.3">
      <c r="D50" s="28"/>
      <c r="E50" s="114"/>
      <c r="F50" s="115"/>
      <c r="G50" s="28"/>
      <c r="H50" s="28"/>
    </row>
    <row r="51" spans="4:10" x14ac:dyDescent="0.3">
      <c r="D51" s="28"/>
      <c r="E51" s="114"/>
      <c r="F51" s="115"/>
      <c r="G51" s="28"/>
      <c r="H51" s="28"/>
    </row>
    <row r="52" spans="4:10" x14ac:dyDescent="0.3">
      <c r="D52" s="28"/>
      <c r="E52" s="114"/>
      <c r="F52" s="115"/>
      <c r="G52" s="28"/>
      <c r="H52" s="28"/>
    </row>
    <row r="53" spans="4:10" x14ac:dyDescent="0.3">
      <c r="D53" s="28"/>
      <c r="E53" s="114"/>
      <c r="F53" s="115"/>
      <c r="G53" s="28"/>
      <c r="H53" s="28"/>
    </row>
    <row r="54" spans="4:10" x14ac:dyDescent="0.3">
      <c r="D54" s="28"/>
      <c r="E54" s="114"/>
      <c r="F54" s="115"/>
      <c r="G54" s="28"/>
      <c r="H54" s="28"/>
    </row>
    <row r="55" spans="4:10" x14ac:dyDescent="0.3">
      <c r="D55" s="28"/>
      <c r="E55" s="114"/>
      <c r="F55" s="115"/>
      <c r="G55" s="28"/>
      <c r="H55" s="28"/>
    </row>
    <row r="56" spans="4:10" x14ac:dyDescent="0.3">
      <c r="D56" s="28"/>
      <c r="E56" s="114"/>
      <c r="F56" s="115"/>
      <c r="G56" s="28"/>
      <c r="H56" s="28"/>
    </row>
    <row r="57" spans="4:10" x14ac:dyDescent="0.3">
      <c r="D57" s="28"/>
      <c r="E57" s="114"/>
      <c r="F57" s="115"/>
      <c r="G57" s="28"/>
      <c r="H57" s="28"/>
    </row>
    <row r="58" spans="4:10" x14ac:dyDescent="0.3">
      <c r="D58" s="28"/>
      <c r="E58" s="114"/>
      <c r="F58" s="115"/>
      <c r="G58" s="28"/>
      <c r="H58" s="28"/>
    </row>
    <row r="59" spans="4:10" x14ac:dyDescent="0.3">
      <c r="D59" s="28"/>
      <c r="E59" s="114"/>
      <c r="F59" s="115"/>
      <c r="G59" s="28"/>
      <c r="H59" s="28"/>
    </row>
    <row r="60" spans="4:10" x14ac:dyDescent="0.3">
      <c r="D60" s="28"/>
      <c r="E60" s="114"/>
      <c r="F60" s="115"/>
      <c r="G60" s="28"/>
      <c r="H60" s="28"/>
    </row>
    <row r="61" spans="4:10" x14ac:dyDescent="0.3">
      <c r="D61" s="28"/>
      <c r="E61" s="114"/>
      <c r="F61" s="115"/>
      <c r="G61" s="28"/>
      <c r="H61" s="28"/>
    </row>
    <row r="62" spans="4:10" x14ac:dyDescent="0.3">
      <c r="D62" s="28"/>
      <c r="E62" s="114"/>
      <c r="F62" s="115"/>
      <c r="G62" s="28"/>
      <c r="H62" s="28"/>
    </row>
    <row r="63" spans="4:10" x14ac:dyDescent="0.3">
      <c r="D63" s="28"/>
      <c r="E63" s="114"/>
      <c r="F63" s="115"/>
      <c r="G63" s="28"/>
      <c r="H63" s="28"/>
    </row>
    <row r="64" spans="4:10" x14ac:dyDescent="0.3">
      <c r="D64" s="28"/>
      <c r="E64" s="114"/>
      <c r="F64" s="115"/>
      <c r="G64" s="28"/>
      <c r="H64" s="28"/>
    </row>
    <row r="65" spans="4:8" x14ac:dyDescent="0.3">
      <c r="D65" s="28"/>
      <c r="E65" s="114"/>
      <c r="F65" s="115"/>
      <c r="G65" s="28"/>
      <c r="H65" s="28"/>
    </row>
    <row r="66" spans="4:8" x14ac:dyDescent="0.3">
      <c r="D66" s="28"/>
      <c r="E66" s="114"/>
      <c r="F66" s="115"/>
      <c r="G66" s="28"/>
      <c r="H66" s="28"/>
    </row>
    <row r="67" spans="4:8" x14ac:dyDescent="0.3">
      <c r="D67" s="28"/>
      <c r="E67" s="114"/>
      <c r="F67" s="115"/>
      <c r="G67" s="28"/>
      <c r="H67" s="28"/>
    </row>
    <row r="68" spans="4:8" x14ac:dyDescent="0.3">
      <c r="D68" s="28"/>
      <c r="E68" s="114"/>
      <c r="F68" s="115"/>
      <c r="G68" s="28"/>
      <c r="H68" s="28"/>
    </row>
    <row r="69" spans="4:8" x14ac:dyDescent="0.3">
      <c r="D69" s="28"/>
      <c r="E69" s="114"/>
      <c r="F69" s="115"/>
      <c r="G69" s="28"/>
      <c r="H69" s="28"/>
    </row>
    <row r="70" spans="4:8" x14ac:dyDescent="0.3">
      <c r="D70" s="28"/>
      <c r="E70" s="114"/>
      <c r="F70" s="115"/>
      <c r="G70" s="28"/>
      <c r="H70" s="28"/>
    </row>
    <row r="71" spans="4:8" x14ac:dyDescent="0.3">
      <c r="D71" s="28"/>
      <c r="E71" s="114"/>
      <c r="F71" s="115"/>
      <c r="G71" s="28"/>
      <c r="H71" s="28"/>
    </row>
    <row r="72" spans="4:8" x14ac:dyDescent="0.3">
      <c r="D72" s="28"/>
      <c r="E72" s="114"/>
      <c r="F72" s="115"/>
      <c r="G72" s="28"/>
      <c r="H72" s="28"/>
    </row>
    <row r="73" spans="4:8" x14ac:dyDescent="0.3">
      <c r="D73" s="28"/>
      <c r="E73" s="28"/>
      <c r="F73" s="28"/>
      <c r="G73" s="28"/>
      <c r="H73" s="28"/>
    </row>
    <row r="74" spans="4:8" x14ac:dyDescent="0.3">
      <c r="D74" s="28"/>
      <c r="E74" s="28"/>
      <c r="F74" s="28"/>
      <c r="G74" s="28"/>
      <c r="H74" s="28"/>
    </row>
  </sheetData>
  <sheetProtection algorithmName="SHA-512" hashValue="ApA9eDeWW/We9ufU0oU9N1HjJ3w6uz3uvAl6iZ0fbXPc/fMi5K90q57JTjjoOSFr25szWFJgVyCNGpJbzumPGg==" saltValue="9xd6wBDnuWEOFttXhs8eOg==" spinCount="100000" sheet="1" objects="1" scenarios="1"/>
  <mergeCells count="2">
    <mergeCell ref="G3:J3"/>
    <mergeCell ref="G4:I4"/>
  </mergeCells>
  <pageMargins left="0.25" right="0.25" top="0.75" bottom="0.75" header="0.3" footer="0.3"/>
  <pageSetup paperSize="17" scale="6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1"/>
    <pageSetUpPr fitToPage="1"/>
  </sheetPr>
  <dimension ref="B2:C31"/>
  <sheetViews>
    <sheetView zoomScaleNormal="100" workbookViewId="0">
      <selection activeCell="F37" sqref="F37"/>
    </sheetView>
  </sheetViews>
  <sheetFormatPr defaultRowHeight="14.4" x14ac:dyDescent="0.3"/>
  <cols>
    <col min="1" max="1" width="3.44140625" customWidth="1"/>
    <col min="2" max="2" width="62.44140625" bestFit="1" customWidth="1"/>
    <col min="3" max="3" width="22.6640625" bestFit="1" customWidth="1"/>
    <col min="4" max="4" width="20" bestFit="1" customWidth="1"/>
  </cols>
  <sheetData>
    <row r="2" spans="2:3" x14ac:dyDescent="0.3">
      <c r="B2" s="2" t="s">
        <v>165</v>
      </c>
    </row>
    <row r="4" spans="2:3" x14ac:dyDescent="0.3">
      <c r="B4" s="2" t="s">
        <v>21</v>
      </c>
    </row>
    <row r="5" spans="2:3" x14ac:dyDescent="0.3">
      <c r="B5" s="31" t="s">
        <v>24</v>
      </c>
      <c r="C5" s="75">
        <v>2018</v>
      </c>
    </row>
    <row r="6" spans="2:3" x14ac:dyDescent="0.3">
      <c r="B6" s="31" t="s">
        <v>25</v>
      </c>
      <c r="C6" s="48">
        <v>7.0000000000000007E-2</v>
      </c>
    </row>
    <row r="7" spans="2:3" s="87" customFormat="1" x14ac:dyDescent="0.3">
      <c r="B7" s="111"/>
      <c r="C7" s="112"/>
    </row>
    <row r="8" spans="2:3" s="87" customFormat="1" x14ac:dyDescent="0.3">
      <c r="B8" s="111"/>
      <c r="C8" s="113"/>
    </row>
    <row r="9" spans="2:3" x14ac:dyDescent="0.3">
      <c r="B9" s="28"/>
      <c r="C9" s="29"/>
    </row>
    <row r="10" spans="2:3" x14ac:dyDescent="0.3">
      <c r="B10" s="30" t="s">
        <v>57</v>
      </c>
      <c r="C10" s="29"/>
    </row>
    <row r="11" spans="2:3" x14ac:dyDescent="0.3">
      <c r="B11" s="31" t="s">
        <v>109</v>
      </c>
      <c r="C11" s="76">
        <f>'Value of Statistical Life'!E11</f>
        <v>9600000</v>
      </c>
    </row>
    <row r="12" spans="2:3" x14ac:dyDescent="0.3">
      <c r="B12" s="158" t="s">
        <v>73</v>
      </c>
      <c r="C12" s="159"/>
    </row>
    <row r="14" spans="2:3" hidden="1" x14ac:dyDescent="0.3">
      <c r="B14" s="30" t="s">
        <v>22</v>
      </c>
      <c r="C14" s="29"/>
    </row>
    <row r="15" spans="2:3" hidden="1" x14ac:dyDescent="0.3">
      <c r="B15" s="31" t="s">
        <v>110</v>
      </c>
      <c r="C15" s="33" t="e">
        <f>#REF!</f>
        <v>#REF!</v>
      </c>
    </row>
    <row r="16" spans="2:3" hidden="1" x14ac:dyDescent="0.3">
      <c r="B16" s="64" t="s">
        <v>84</v>
      </c>
      <c r="C16" s="65">
        <v>1.2E-2</v>
      </c>
    </row>
    <row r="17" spans="2:3" hidden="1" x14ac:dyDescent="0.3"/>
    <row r="18" spans="2:3" hidden="1" x14ac:dyDescent="0.3">
      <c r="B18" s="30" t="s">
        <v>23</v>
      </c>
    </row>
    <row r="19" spans="2:3" hidden="1" x14ac:dyDescent="0.3">
      <c r="B19" s="31" t="s">
        <v>103</v>
      </c>
      <c r="C19" s="74" t="e">
        <f>#REF!</f>
        <v>#REF!</v>
      </c>
    </row>
    <row r="20" spans="2:3" hidden="1" x14ac:dyDescent="0.3">
      <c r="B20" s="31" t="s">
        <v>104</v>
      </c>
      <c r="C20" s="74" t="e">
        <f>#REF!</f>
        <v>#REF!</v>
      </c>
    </row>
    <row r="21" spans="2:3" hidden="1" x14ac:dyDescent="0.3">
      <c r="B21" s="31" t="s">
        <v>28</v>
      </c>
      <c r="C21" s="32">
        <f>(0.267383+0.37942)/2</f>
        <v>0.32340150000000001</v>
      </c>
    </row>
    <row r="22" spans="2:3" hidden="1" x14ac:dyDescent="0.3">
      <c r="B22" s="31" t="s">
        <v>29</v>
      </c>
      <c r="C22" s="32">
        <f>(0.183428+0.198698)/2</f>
        <v>0.19106300000000001</v>
      </c>
    </row>
    <row r="23" spans="2:3" ht="72" hidden="1" x14ac:dyDescent="0.3">
      <c r="B23" s="31" t="s">
        <v>26</v>
      </c>
      <c r="C23" s="72" t="s">
        <v>27</v>
      </c>
    </row>
    <row r="24" spans="2:3" hidden="1" x14ac:dyDescent="0.3"/>
    <row r="25" spans="2:3" hidden="1" x14ac:dyDescent="0.3"/>
    <row r="26" spans="2:3" hidden="1" x14ac:dyDescent="0.3"/>
    <row r="27" spans="2:3" hidden="1" x14ac:dyDescent="0.3"/>
    <row r="28" spans="2:3" hidden="1" x14ac:dyDescent="0.3"/>
    <row r="29" spans="2:3" hidden="1" x14ac:dyDescent="0.3"/>
    <row r="30" spans="2:3" hidden="1" x14ac:dyDescent="0.3"/>
    <row r="31" spans="2:3" hidden="1" x14ac:dyDescent="0.3"/>
  </sheetData>
  <sheetProtection algorithmName="SHA-512" hashValue="0cBrZls6IUWtH6ZHZkdTGvVNRZfmCE9lr7GFS9QdRBTlYjEVcvk4Lh4SunI6ZID5xMQYlNYo5lGO5+I4nsdDNQ==" saltValue="EQ9cmLZHV3GNuAa/ieDMJw==" spinCount="100000" sheet="1" objects="1" scenarios="1"/>
  <mergeCells count="1">
    <mergeCell ref="B12:C12"/>
  </mergeCells>
  <hyperlinks>
    <hyperlink ref="C23" r:id="rId1" location="page=80" xr:uid="{00000000-0004-0000-0500-00000000000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1"/>
  </sheetPr>
  <dimension ref="C1:X38"/>
  <sheetViews>
    <sheetView workbookViewId="0">
      <selection activeCell="L5" sqref="L5"/>
    </sheetView>
  </sheetViews>
  <sheetFormatPr defaultRowHeight="14.4" x14ac:dyDescent="0.3"/>
  <cols>
    <col min="3" max="3" width="20" customWidth="1"/>
    <col min="4" max="4" width="13.109375" bestFit="1" customWidth="1"/>
    <col min="11" max="11" width="5.5546875" customWidth="1"/>
    <col min="12" max="12" width="4.88671875" customWidth="1"/>
    <col min="13" max="13" width="18.109375" customWidth="1"/>
    <col min="14" max="14" width="10.44140625" customWidth="1"/>
    <col min="15" max="15" width="14.6640625" customWidth="1"/>
    <col min="16" max="16" width="6.33203125" customWidth="1"/>
    <col min="17" max="17" width="19" customWidth="1"/>
  </cols>
  <sheetData>
    <row r="1" spans="3:24" x14ac:dyDescent="0.3">
      <c r="C1" t="s">
        <v>152</v>
      </c>
    </row>
    <row r="2" spans="3:24" x14ac:dyDescent="0.3">
      <c r="C2" t="s">
        <v>115</v>
      </c>
      <c r="D2" t="s">
        <v>124</v>
      </c>
      <c r="F2" s="50" t="s">
        <v>127</v>
      </c>
      <c r="G2" s="132" t="s">
        <v>189</v>
      </c>
    </row>
    <row r="3" spans="3:24" x14ac:dyDescent="0.3">
      <c r="C3" t="s">
        <v>118</v>
      </c>
      <c r="D3" t="s">
        <v>125</v>
      </c>
      <c r="F3" s="50" t="s">
        <v>128</v>
      </c>
      <c r="G3" s="132" t="s">
        <v>190</v>
      </c>
    </row>
    <row r="4" spans="3:24" x14ac:dyDescent="0.3">
      <c r="C4" t="s">
        <v>120</v>
      </c>
      <c r="D4" t="s">
        <v>126</v>
      </c>
      <c r="F4" s="50" t="s">
        <v>129</v>
      </c>
      <c r="G4" s="132" t="s">
        <v>191</v>
      </c>
    </row>
    <row r="5" spans="3:24" x14ac:dyDescent="0.3">
      <c r="C5" t="s">
        <v>117</v>
      </c>
      <c r="F5" s="50" t="s">
        <v>130</v>
      </c>
      <c r="G5" s="132" t="s">
        <v>192</v>
      </c>
    </row>
    <row r="6" spans="3:24" x14ac:dyDescent="0.3">
      <c r="C6" t="s">
        <v>119</v>
      </c>
      <c r="F6" s="50" t="s">
        <v>131</v>
      </c>
      <c r="G6" s="132" t="s">
        <v>193</v>
      </c>
    </row>
    <row r="7" spans="3:24" x14ac:dyDescent="0.3">
      <c r="C7" t="s">
        <v>116</v>
      </c>
      <c r="F7" s="50" t="s">
        <v>132</v>
      </c>
      <c r="G7" s="132" t="s">
        <v>194</v>
      </c>
    </row>
    <row r="8" spans="3:24" x14ac:dyDescent="0.3">
      <c r="C8" t="s">
        <v>121</v>
      </c>
    </row>
    <row r="9" spans="3:24" x14ac:dyDescent="0.3">
      <c r="C9" t="s">
        <v>122</v>
      </c>
    </row>
    <row r="10" spans="3:24" x14ac:dyDescent="0.3">
      <c r="C10" t="s">
        <v>123</v>
      </c>
    </row>
    <row r="12" spans="3:24" x14ac:dyDescent="0.3">
      <c r="C12" t="s">
        <v>142</v>
      </c>
      <c r="Q12" t="s">
        <v>150</v>
      </c>
    </row>
    <row r="13" spans="3:24" x14ac:dyDescent="0.3">
      <c r="C13" s="79" t="s">
        <v>115</v>
      </c>
      <c r="D13" s="79" t="s">
        <v>144</v>
      </c>
      <c r="E13" s="79" t="s">
        <v>127</v>
      </c>
      <c r="F13" s="79" t="s">
        <v>128</v>
      </c>
      <c r="G13" s="79" t="s">
        <v>129</v>
      </c>
      <c r="H13" s="79" t="s">
        <v>130</v>
      </c>
      <c r="I13" s="79" t="s">
        <v>131</v>
      </c>
      <c r="J13" s="79" t="s">
        <v>132</v>
      </c>
      <c r="M13" s="50" t="s">
        <v>147</v>
      </c>
      <c r="N13" s="50" t="s">
        <v>153</v>
      </c>
      <c r="O13" s="50" t="s">
        <v>154</v>
      </c>
      <c r="Q13" s="91" t="s">
        <v>115</v>
      </c>
      <c r="R13" s="91" t="s">
        <v>149</v>
      </c>
      <c r="S13" s="91" t="s">
        <v>127</v>
      </c>
      <c r="T13" s="91" t="s">
        <v>128</v>
      </c>
      <c r="U13" s="91" t="s">
        <v>129</v>
      </c>
      <c r="V13" s="91" t="s">
        <v>130</v>
      </c>
      <c r="W13" s="91" t="s">
        <v>131</v>
      </c>
      <c r="X13" s="91" t="s">
        <v>132</v>
      </c>
    </row>
    <row r="14" spans="3:24" x14ac:dyDescent="0.3">
      <c r="C14" s="80" t="s">
        <v>118</v>
      </c>
      <c r="D14" s="89"/>
      <c r="E14" s="89">
        <v>0.58757489087439407</v>
      </c>
      <c r="F14" s="89">
        <v>1.7627246726231824</v>
      </c>
      <c r="G14" s="89">
        <v>8.5198359176787157</v>
      </c>
      <c r="H14" s="89">
        <v>10.870135481176293</v>
      </c>
      <c r="I14" s="89">
        <v>172.45323047163467</v>
      </c>
      <c r="J14" s="89">
        <v>6.1695363541811377</v>
      </c>
      <c r="M14" s="50" t="s">
        <v>118</v>
      </c>
      <c r="N14" s="129">
        <v>2618324.17</v>
      </c>
      <c r="O14" s="129">
        <f>N14*260</f>
        <v>680764284.19999993</v>
      </c>
      <c r="Q14" s="92" t="s">
        <v>118</v>
      </c>
      <c r="R14" s="93"/>
      <c r="S14" s="50">
        <v>4</v>
      </c>
      <c r="T14" s="50">
        <v>12</v>
      </c>
      <c r="U14" s="50">
        <v>58</v>
      </c>
      <c r="V14" s="50">
        <v>74</v>
      </c>
      <c r="W14" s="50">
        <v>1174</v>
      </c>
      <c r="X14" s="50">
        <v>42</v>
      </c>
    </row>
    <row r="15" spans="3:24" x14ac:dyDescent="0.3">
      <c r="C15" s="80" t="s">
        <v>120</v>
      </c>
      <c r="D15" s="89"/>
      <c r="E15" s="89">
        <v>0</v>
      </c>
      <c r="F15" s="89">
        <v>0.71587584389076675</v>
      </c>
      <c r="G15" s="89">
        <v>4.7247805696790603</v>
      </c>
      <c r="H15" s="89">
        <v>3.8657295570101406</v>
      </c>
      <c r="I15" s="89">
        <v>59.847220549268101</v>
      </c>
      <c r="J15" s="89">
        <v>1.4317516877815335</v>
      </c>
      <c r="M15" s="50" t="s">
        <v>120</v>
      </c>
      <c r="N15" s="129">
        <v>2686327.44</v>
      </c>
      <c r="O15" s="129">
        <f t="shared" ref="O15:O21" si="0">N15*260</f>
        <v>698445134.39999998</v>
      </c>
      <c r="Q15" s="92" t="s">
        <v>120</v>
      </c>
      <c r="R15" s="93"/>
      <c r="S15" s="50">
        <v>0</v>
      </c>
      <c r="T15" s="50">
        <v>5</v>
      </c>
      <c r="U15" s="50">
        <v>33</v>
      </c>
      <c r="V15" s="50">
        <v>27</v>
      </c>
      <c r="W15" s="50">
        <v>418</v>
      </c>
      <c r="X15" s="50">
        <v>10</v>
      </c>
    </row>
    <row r="16" spans="3:24" x14ac:dyDescent="0.3">
      <c r="C16" s="80" t="s">
        <v>117</v>
      </c>
      <c r="D16" s="89"/>
      <c r="E16" s="89">
        <v>1.1315255007738096</v>
      </c>
      <c r="F16" s="89">
        <v>3.9089062754004331</v>
      </c>
      <c r="G16" s="89">
        <v>19.95599519546537</v>
      </c>
      <c r="H16" s="89">
        <v>32.197043794745674</v>
      </c>
      <c r="I16" s="89">
        <v>398.29697627238102</v>
      </c>
      <c r="J16" s="89">
        <v>12.549646463127708</v>
      </c>
      <c r="M16" s="50" t="s">
        <v>117</v>
      </c>
      <c r="N16" s="129">
        <v>3738995.92</v>
      </c>
      <c r="O16" s="129">
        <f t="shared" si="0"/>
        <v>972138939.19999993</v>
      </c>
      <c r="Q16" s="92" t="s">
        <v>117</v>
      </c>
      <c r="R16" s="93"/>
      <c r="S16" s="50">
        <v>11</v>
      </c>
      <c r="T16" s="50">
        <v>38</v>
      </c>
      <c r="U16" s="50">
        <v>194</v>
      </c>
      <c r="V16" s="50">
        <v>313</v>
      </c>
      <c r="W16" s="50">
        <v>3872</v>
      </c>
      <c r="X16" s="50">
        <v>122</v>
      </c>
    </row>
    <row r="17" spans="3:24" x14ac:dyDescent="0.3">
      <c r="C17" s="80" t="s">
        <v>119</v>
      </c>
      <c r="D17" s="89"/>
      <c r="E17" s="89">
        <v>1.0773925370741351</v>
      </c>
      <c r="F17" s="89">
        <v>7.9008786052103224</v>
      </c>
      <c r="G17" s="89">
        <v>33.937864917835249</v>
      </c>
      <c r="H17" s="89">
        <v>58.897458693386042</v>
      </c>
      <c r="I17" s="89">
        <v>622.55332100600435</v>
      </c>
      <c r="J17" s="89">
        <v>21.009154472945632</v>
      </c>
      <c r="M17" s="50" t="s">
        <v>146</v>
      </c>
      <c r="N17" s="129">
        <v>2141923.42</v>
      </c>
      <c r="O17" s="129">
        <f t="shared" si="0"/>
        <v>556900089.19999993</v>
      </c>
      <c r="Q17" s="92" t="s">
        <v>119</v>
      </c>
      <c r="R17" s="93"/>
      <c r="S17" s="50">
        <v>6</v>
      </c>
      <c r="T17" s="50">
        <v>44</v>
      </c>
      <c r="U17" s="50">
        <v>189</v>
      </c>
      <c r="V17" s="50">
        <v>328</v>
      </c>
      <c r="W17" s="50">
        <v>3467</v>
      </c>
      <c r="X17" s="50">
        <v>117</v>
      </c>
    </row>
    <row r="18" spans="3:24" x14ac:dyDescent="0.3">
      <c r="C18" s="80" t="s">
        <v>116</v>
      </c>
      <c r="D18" s="89"/>
      <c r="E18" s="89">
        <v>0.90708688014883054</v>
      </c>
      <c r="F18" s="89">
        <v>3.6345604444319584</v>
      </c>
      <c r="G18" s="89">
        <v>19.334618979610692</v>
      </c>
      <c r="H18" s="89">
        <v>53.611319786330533</v>
      </c>
      <c r="I18" s="89">
        <v>404.81547842368047</v>
      </c>
      <c r="J18" s="89">
        <v>37.824280317438905</v>
      </c>
      <c r="M18" s="50" t="s">
        <v>116</v>
      </c>
      <c r="N18" s="129">
        <v>61905697.659999996</v>
      </c>
      <c r="O18" s="129">
        <f t="shared" si="0"/>
        <v>16095481391.599998</v>
      </c>
      <c r="Q18" s="92" t="s">
        <v>116</v>
      </c>
      <c r="R18" s="93"/>
      <c r="S18" s="50">
        <v>146</v>
      </c>
      <c r="T18" s="50">
        <v>585</v>
      </c>
      <c r="U18" s="50">
        <v>3112</v>
      </c>
      <c r="V18" s="50">
        <v>8629</v>
      </c>
      <c r="W18" s="50">
        <v>65157</v>
      </c>
      <c r="X18" s="50">
        <v>6088</v>
      </c>
    </row>
    <row r="19" spans="3:24" x14ac:dyDescent="0.3">
      <c r="C19" s="80" t="s">
        <v>121</v>
      </c>
      <c r="D19" s="89"/>
      <c r="E19" s="89">
        <v>3.3935222811020584</v>
      </c>
      <c r="F19" s="89">
        <v>4.2419028513775725</v>
      </c>
      <c r="G19" s="89">
        <v>9.3321862730306595</v>
      </c>
      <c r="H19" s="89">
        <v>22.057894827163377</v>
      </c>
      <c r="I19" s="89">
        <v>135.74089124408232</v>
      </c>
      <c r="J19" s="89">
        <v>3.3935222811020584</v>
      </c>
      <c r="M19" s="50" t="s">
        <v>121</v>
      </c>
      <c r="N19" s="129">
        <v>453352.42</v>
      </c>
      <c r="O19" s="129">
        <f t="shared" si="0"/>
        <v>117871629.2</v>
      </c>
      <c r="Q19" s="92" t="s">
        <v>121</v>
      </c>
      <c r="R19" s="93"/>
      <c r="S19" s="50">
        <v>4</v>
      </c>
      <c r="T19" s="50">
        <v>5</v>
      </c>
      <c r="U19" s="50">
        <v>11</v>
      </c>
      <c r="V19" s="50">
        <v>26</v>
      </c>
      <c r="W19" s="50">
        <v>160</v>
      </c>
      <c r="X19" s="50">
        <v>4</v>
      </c>
    </row>
    <row r="20" spans="3:24" x14ac:dyDescent="0.3">
      <c r="C20" s="80" t="s">
        <v>122</v>
      </c>
      <c r="D20" s="89"/>
      <c r="E20" s="89">
        <v>0.40874620684819268</v>
      </c>
      <c r="F20" s="89">
        <v>2.3356926105611011</v>
      </c>
      <c r="G20" s="89">
        <v>15.532355860231322</v>
      </c>
      <c r="H20" s="89">
        <v>25.692618716172113</v>
      </c>
      <c r="I20" s="89">
        <v>267.43680390924607</v>
      </c>
      <c r="J20" s="89">
        <v>10.452224432260929</v>
      </c>
      <c r="M20" s="50" t="s">
        <v>122</v>
      </c>
      <c r="N20" s="129">
        <v>6586746.6100000003</v>
      </c>
      <c r="O20" s="129">
        <f t="shared" si="0"/>
        <v>1712554118.6000001</v>
      </c>
      <c r="Q20" s="92" t="s">
        <v>122</v>
      </c>
      <c r="R20" s="93"/>
      <c r="S20" s="50">
        <v>7</v>
      </c>
      <c r="T20" s="50">
        <v>40</v>
      </c>
      <c r="U20" s="50">
        <v>266</v>
      </c>
      <c r="V20" s="50">
        <v>440</v>
      </c>
      <c r="W20" s="50">
        <v>4580</v>
      </c>
      <c r="X20" s="50">
        <v>179</v>
      </c>
    </row>
    <row r="21" spans="3:24" x14ac:dyDescent="0.3">
      <c r="C21" s="80" t="s">
        <v>123</v>
      </c>
      <c r="D21" s="89"/>
      <c r="E21" s="89">
        <v>1.4164379058069814</v>
      </c>
      <c r="F21" s="89">
        <v>1.4164379058069814</v>
      </c>
      <c r="G21" s="89">
        <v>3.1869852880657077</v>
      </c>
      <c r="H21" s="89">
        <v>3.1869852880657077</v>
      </c>
      <c r="I21" s="89">
        <v>16.643145393232032</v>
      </c>
      <c r="J21" s="89">
        <v>0</v>
      </c>
      <c r="M21" s="50" t="s">
        <v>123</v>
      </c>
      <c r="N21" s="129">
        <v>1086148.24</v>
      </c>
      <c r="O21" s="129">
        <f t="shared" si="0"/>
        <v>282398542.39999998</v>
      </c>
      <c r="Q21" s="92" t="s">
        <v>123</v>
      </c>
      <c r="R21" s="93"/>
      <c r="S21" s="50">
        <v>4</v>
      </c>
      <c r="T21" s="50">
        <v>4</v>
      </c>
      <c r="U21" s="50">
        <v>9</v>
      </c>
      <c r="V21" s="50">
        <v>9</v>
      </c>
      <c r="W21" s="50">
        <v>47</v>
      </c>
      <c r="X21" s="50">
        <v>0</v>
      </c>
    </row>
    <row r="22" spans="3:24" x14ac:dyDescent="0.3">
      <c r="D22" s="84"/>
      <c r="E22" s="84"/>
      <c r="F22" s="84"/>
      <c r="G22" s="84"/>
      <c r="H22" s="84"/>
      <c r="I22" s="84"/>
      <c r="J22" s="84"/>
      <c r="M22" s="50"/>
      <c r="N22" s="129">
        <f>SUM(N14:N21)</f>
        <v>81217515.879999995</v>
      </c>
      <c r="O22" s="129">
        <f>SUM(O14:O21)</f>
        <v>21116554128.799999</v>
      </c>
      <c r="Q22" s="95" t="s">
        <v>157</v>
      </c>
      <c r="R22" s="94">
        <f>SUM(R14:R21)</f>
        <v>0</v>
      </c>
      <c r="S22" s="94">
        <f t="shared" ref="S22:X22" si="1">SUM(S14:S21)</f>
        <v>182</v>
      </c>
      <c r="T22" s="94">
        <f t="shared" si="1"/>
        <v>733</v>
      </c>
      <c r="U22" s="94">
        <f t="shared" si="1"/>
        <v>3872</v>
      </c>
      <c r="V22" s="94">
        <f t="shared" si="1"/>
        <v>9846</v>
      </c>
      <c r="W22" s="94">
        <f t="shared" si="1"/>
        <v>78875</v>
      </c>
      <c r="X22" s="94">
        <f t="shared" si="1"/>
        <v>6562</v>
      </c>
    </row>
    <row r="26" spans="3:24" x14ac:dyDescent="0.3">
      <c r="C26" t="s">
        <v>143</v>
      </c>
      <c r="Q26" t="s">
        <v>151</v>
      </c>
    </row>
    <row r="27" spans="3:24" x14ac:dyDescent="0.3">
      <c r="C27" s="79" t="s">
        <v>115</v>
      </c>
      <c r="D27" s="79" t="s">
        <v>144</v>
      </c>
      <c r="E27" s="79" t="s">
        <v>127</v>
      </c>
      <c r="F27" s="79" t="s">
        <v>128</v>
      </c>
      <c r="G27" s="79" t="s">
        <v>129</v>
      </c>
      <c r="H27" s="79" t="s">
        <v>130</v>
      </c>
      <c r="I27" s="79" t="s">
        <v>131</v>
      </c>
      <c r="J27" s="79" t="s">
        <v>132</v>
      </c>
      <c r="M27" s="50" t="s">
        <v>148</v>
      </c>
      <c r="N27" s="50" t="s">
        <v>153</v>
      </c>
      <c r="O27" s="50" t="s">
        <v>154</v>
      </c>
      <c r="Q27" s="91" t="s">
        <v>115</v>
      </c>
      <c r="R27" s="91" t="s">
        <v>149</v>
      </c>
      <c r="S27" s="91" t="s">
        <v>127</v>
      </c>
      <c r="T27" s="91" t="s">
        <v>128</v>
      </c>
      <c r="U27" s="91" t="s">
        <v>129</v>
      </c>
      <c r="V27" s="91" t="s">
        <v>130</v>
      </c>
      <c r="W27" s="91" t="s">
        <v>131</v>
      </c>
      <c r="X27" s="91" t="s">
        <v>132</v>
      </c>
    </row>
    <row r="28" spans="3:24" x14ac:dyDescent="0.3">
      <c r="C28" s="81" t="s">
        <v>118</v>
      </c>
      <c r="D28" s="89"/>
      <c r="E28" s="89">
        <v>2.3625405586197226</v>
      </c>
      <c r="F28" s="89">
        <v>8.4203368627728583</v>
      </c>
      <c r="G28" s="89">
        <v>41.314170794324376</v>
      </c>
      <c r="H28" s="89">
        <v>65.121310269646187</v>
      </c>
      <c r="I28" s="89">
        <v>615.29037061283384</v>
      </c>
      <c r="J28" s="89">
        <v>20.354195581954531</v>
      </c>
      <c r="M28" s="50" t="s">
        <v>118</v>
      </c>
      <c r="N28" s="129">
        <v>6349097.3499999996</v>
      </c>
      <c r="O28" s="129">
        <f>N28*260</f>
        <v>1650765311</v>
      </c>
      <c r="Q28" s="92" t="s">
        <v>118</v>
      </c>
      <c r="R28" s="93"/>
      <c r="S28" s="50">
        <v>39</v>
      </c>
      <c r="T28" s="50">
        <v>139</v>
      </c>
      <c r="U28" s="50">
        <v>682</v>
      </c>
      <c r="V28" s="50">
        <v>1075</v>
      </c>
      <c r="W28" s="129">
        <v>10157</v>
      </c>
      <c r="X28" s="50">
        <v>336</v>
      </c>
    </row>
    <row r="29" spans="3:24" x14ac:dyDescent="0.3">
      <c r="C29" s="81" t="s">
        <v>120</v>
      </c>
      <c r="D29" s="89"/>
      <c r="E29" s="89">
        <v>2.8832323701282432</v>
      </c>
      <c r="F29" s="89">
        <v>27.184762346923439</v>
      </c>
      <c r="G29" s="89">
        <v>68.373796205898344</v>
      </c>
      <c r="H29" s="89">
        <v>63.019221804231606</v>
      </c>
      <c r="I29" s="89">
        <v>906.57063523603767</v>
      </c>
      <c r="J29" s="89">
        <v>35.422569118718414</v>
      </c>
      <c r="M29" s="50" t="s">
        <v>120</v>
      </c>
      <c r="N29" s="129">
        <v>933781.03</v>
      </c>
      <c r="O29" s="129">
        <f t="shared" ref="O29:O35" si="2">N29*260</f>
        <v>242783067.80000001</v>
      </c>
      <c r="Q29" s="92" t="s">
        <v>120</v>
      </c>
      <c r="R29" s="93"/>
      <c r="S29" s="50">
        <v>7</v>
      </c>
      <c r="T29" s="50">
        <v>66</v>
      </c>
      <c r="U29" s="50">
        <v>166</v>
      </c>
      <c r="V29" s="50">
        <v>153</v>
      </c>
      <c r="W29" s="50">
        <v>2201</v>
      </c>
      <c r="X29" s="50">
        <v>86</v>
      </c>
    </row>
    <row r="30" spans="3:24" x14ac:dyDescent="0.3">
      <c r="C30" s="81" t="s">
        <v>117</v>
      </c>
      <c r="D30" s="89"/>
      <c r="E30" s="89">
        <v>0.99344502357157671</v>
      </c>
      <c r="F30" s="89">
        <v>5.5495894420205314</v>
      </c>
      <c r="G30" s="89">
        <v>33.605847176679887</v>
      </c>
      <c r="H30" s="89">
        <v>63.237914259073463</v>
      </c>
      <c r="I30" s="89">
        <v>637.62042150819855</v>
      </c>
      <c r="J30" s="89">
        <v>27.199839610890752</v>
      </c>
      <c r="M30" s="50" t="s">
        <v>117</v>
      </c>
      <c r="N30" s="129">
        <v>11227441.77</v>
      </c>
      <c r="O30" s="129">
        <f t="shared" si="2"/>
        <v>2919134860.1999998</v>
      </c>
      <c r="Q30" s="92" t="s">
        <v>117</v>
      </c>
      <c r="R30" s="93"/>
      <c r="S30" s="50">
        <v>29</v>
      </c>
      <c r="T30" s="50">
        <v>162</v>
      </c>
      <c r="U30" s="50">
        <v>981</v>
      </c>
      <c r="V30" s="129">
        <v>1846</v>
      </c>
      <c r="W30" s="129">
        <v>18613</v>
      </c>
      <c r="X30" s="50">
        <v>794</v>
      </c>
    </row>
    <row r="31" spans="3:24" x14ac:dyDescent="0.3">
      <c r="C31" s="81" t="s">
        <v>119</v>
      </c>
      <c r="D31" s="89"/>
      <c r="E31" s="89">
        <v>2.8942083274968362</v>
      </c>
      <c r="F31" s="89">
        <v>14.04542276579347</v>
      </c>
      <c r="G31" s="89">
        <v>51.329635925899773</v>
      </c>
      <c r="H31" s="89">
        <v>102.91464317481397</v>
      </c>
      <c r="I31" s="89">
        <v>1117.0792906394406</v>
      </c>
      <c r="J31" s="89">
        <v>47.924684952374079</v>
      </c>
      <c r="M31" s="50" t="s">
        <v>146</v>
      </c>
      <c r="N31" s="129">
        <v>4518307.46</v>
      </c>
      <c r="O31" s="129">
        <f t="shared" si="2"/>
        <v>1174759939.5999999</v>
      </c>
      <c r="Q31" s="92" t="s">
        <v>119</v>
      </c>
      <c r="R31" s="93"/>
      <c r="S31" s="50">
        <v>34</v>
      </c>
      <c r="T31" s="50">
        <v>165</v>
      </c>
      <c r="U31" s="50">
        <v>603</v>
      </c>
      <c r="V31" s="129">
        <v>1209</v>
      </c>
      <c r="W31" s="129">
        <v>13123</v>
      </c>
      <c r="X31" s="50">
        <v>563</v>
      </c>
    </row>
    <row r="32" spans="3:24" x14ac:dyDescent="0.3">
      <c r="C32" s="81" t="s">
        <v>116</v>
      </c>
      <c r="D32" s="89"/>
      <c r="E32" s="89">
        <v>1.7455741549787349</v>
      </c>
      <c r="F32" s="89">
        <v>8.8235958091989612</v>
      </c>
      <c r="G32" s="89">
        <v>49.782648723119337</v>
      </c>
      <c r="H32" s="89">
        <v>124.27924895011503</v>
      </c>
      <c r="I32" s="89">
        <v>963.65828946693784</v>
      </c>
      <c r="J32" s="89">
        <v>83.618632907852302</v>
      </c>
      <c r="M32" s="50" t="s">
        <v>116</v>
      </c>
      <c r="N32" s="129">
        <v>68304614.209999993</v>
      </c>
      <c r="O32" s="129">
        <f t="shared" si="2"/>
        <v>17759199694.599998</v>
      </c>
      <c r="Q32" s="92" t="s">
        <v>116</v>
      </c>
      <c r="R32" s="93"/>
      <c r="S32" s="50">
        <v>310</v>
      </c>
      <c r="T32" s="129">
        <v>1567</v>
      </c>
      <c r="U32" s="129">
        <v>8841</v>
      </c>
      <c r="V32" s="129">
        <v>22071</v>
      </c>
      <c r="W32" s="129">
        <v>171138</v>
      </c>
      <c r="X32" s="129">
        <v>14850</v>
      </c>
    </row>
    <row r="33" spans="3:24" x14ac:dyDescent="0.3">
      <c r="C33" s="81" t="s">
        <v>121</v>
      </c>
      <c r="D33" s="89"/>
      <c r="E33" s="89">
        <v>5.3130646924395055</v>
      </c>
      <c r="F33" s="89">
        <v>9.8447963418732023</v>
      </c>
      <c r="G33" s="89">
        <v>24.065057724578939</v>
      </c>
      <c r="H33" s="89">
        <v>52.349313881389243</v>
      </c>
      <c r="I33" s="89">
        <v>389.41638863409548</v>
      </c>
      <c r="J33" s="89">
        <v>13.126395122497602</v>
      </c>
      <c r="M33" s="50" t="s">
        <v>121</v>
      </c>
      <c r="N33" s="129">
        <v>2461276.84</v>
      </c>
      <c r="O33" s="129">
        <f t="shared" si="2"/>
        <v>639931978.39999998</v>
      </c>
      <c r="Q33" s="92" t="s">
        <v>121</v>
      </c>
      <c r="R33" s="93"/>
      <c r="S33" s="50">
        <v>34</v>
      </c>
      <c r="T33" s="50">
        <v>63</v>
      </c>
      <c r="U33" s="50">
        <v>154</v>
      </c>
      <c r="V33" s="50">
        <v>335</v>
      </c>
      <c r="W33" s="50">
        <v>2492</v>
      </c>
      <c r="X33" s="50">
        <v>84</v>
      </c>
    </row>
    <row r="34" spans="3:24" x14ac:dyDescent="0.3">
      <c r="C34" s="81" t="s">
        <v>122</v>
      </c>
      <c r="D34" s="89"/>
      <c r="E34" s="89">
        <v>1.6733669755541722</v>
      </c>
      <c r="F34" s="89">
        <v>10.467444485381417</v>
      </c>
      <c r="G34" s="89">
        <v>41.371328204126556</v>
      </c>
      <c r="H34" s="89">
        <v>63.089495333659421</v>
      </c>
      <c r="I34" s="89">
        <v>590.98337079199359</v>
      </c>
      <c r="J34" s="89">
        <v>22.750670157002467</v>
      </c>
      <c r="M34" s="50" t="s">
        <v>122</v>
      </c>
      <c r="N34" s="129">
        <v>10802724.890000001</v>
      </c>
      <c r="O34" s="129">
        <f t="shared" si="2"/>
        <v>2808708471.4000001</v>
      </c>
      <c r="Q34" s="92" t="s">
        <v>122</v>
      </c>
      <c r="R34" s="93"/>
      <c r="S34" s="50">
        <v>47</v>
      </c>
      <c r="T34" s="50">
        <v>294</v>
      </c>
      <c r="U34" s="129">
        <v>1162</v>
      </c>
      <c r="V34" s="129">
        <v>1772</v>
      </c>
      <c r="W34" s="129">
        <v>16599</v>
      </c>
      <c r="X34" s="50">
        <v>639</v>
      </c>
    </row>
    <row r="35" spans="3:24" x14ac:dyDescent="0.3">
      <c r="C35" s="81" t="s">
        <v>123</v>
      </c>
      <c r="D35" s="89"/>
      <c r="E35" s="89">
        <v>7.1772175901711934</v>
      </c>
      <c r="F35" s="89">
        <v>11.124687264765349</v>
      </c>
      <c r="G35" s="89">
        <v>37.680392348398769</v>
      </c>
      <c r="H35" s="89">
        <v>58.135462480386664</v>
      </c>
      <c r="I35" s="89">
        <v>454.67673433734507</v>
      </c>
      <c r="J35" s="89">
        <v>26.555705083633416</v>
      </c>
      <c r="M35" s="50" t="s">
        <v>123</v>
      </c>
      <c r="N35" s="129">
        <v>1071767.3799999999</v>
      </c>
      <c r="O35" s="129">
        <f t="shared" si="2"/>
        <v>278659518.79999995</v>
      </c>
      <c r="Q35" s="92" t="s">
        <v>123</v>
      </c>
      <c r="R35" s="93"/>
      <c r="S35" s="50">
        <v>20</v>
      </c>
      <c r="T35" s="50">
        <v>31</v>
      </c>
      <c r="U35" s="50">
        <v>105</v>
      </c>
      <c r="V35" s="50">
        <v>162</v>
      </c>
      <c r="W35" s="50">
        <v>1267</v>
      </c>
      <c r="X35" s="50">
        <v>74</v>
      </c>
    </row>
    <row r="36" spans="3:24" x14ac:dyDescent="0.3">
      <c r="D36" s="84"/>
      <c r="E36" s="84"/>
      <c r="F36" s="84"/>
      <c r="G36" s="84"/>
      <c r="H36" s="84"/>
      <c r="I36" s="84"/>
      <c r="J36" s="84"/>
      <c r="M36" s="50"/>
      <c r="N36" s="129">
        <f>SUM(N28:N35)</f>
        <v>105669010.92999999</v>
      </c>
      <c r="O36" s="129">
        <f>SUM(O28:O35)</f>
        <v>27473942841.799999</v>
      </c>
      <c r="Q36" s="95" t="s">
        <v>157</v>
      </c>
      <c r="R36" s="94">
        <f>SUM(R28:R35)</f>
        <v>0</v>
      </c>
      <c r="S36" s="94">
        <f t="shared" ref="S36:X36" si="3">SUM(S28:S35)</f>
        <v>520</v>
      </c>
      <c r="T36" s="94">
        <f t="shared" si="3"/>
        <v>2487</v>
      </c>
      <c r="U36" s="94">
        <f t="shared" si="3"/>
        <v>12694</v>
      </c>
      <c r="V36" s="94">
        <f t="shared" si="3"/>
        <v>28623</v>
      </c>
      <c r="W36" s="94">
        <f t="shared" si="3"/>
        <v>235590</v>
      </c>
      <c r="X36" s="94">
        <f t="shared" si="3"/>
        <v>17426</v>
      </c>
    </row>
    <row r="38" spans="3:24" x14ac:dyDescent="0.3">
      <c r="Q38" s="96" t="s">
        <v>158</v>
      </c>
      <c r="R38" s="97">
        <f>R22+R36</f>
        <v>0</v>
      </c>
      <c r="S38" s="97">
        <f t="shared" ref="S38:X38" si="4">S22+S36</f>
        <v>702</v>
      </c>
      <c r="T38" s="97">
        <f t="shared" si="4"/>
        <v>3220</v>
      </c>
      <c r="U38" s="97">
        <f t="shared" si="4"/>
        <v>16566</v>
      </c>
      <c r="V38" s="97">
        <f t="shared" si="4"/>
        <v>38469</v>
      </c>
      <c r="W38" s="97">
        <f t="shared" si="4"/>
        <v>314465</v>
      </c>
      <c r="X38" s="97">
        <f t="shared" si="4"/>
        <v>23988</v>
      </c>
    </row>
  </sheetData>
  <sheetProtection algorithmName="SHA-512" hashValue="89JiYMUkIpUW7JZ3zeOEoX8VNjK8DaGG1zaeV1EqnwPJboYjl7F/trAMQkaI9tSl8ifiiEunmxFnHOvzZzM8qA==" saltValue="l6dE24/gAzdmhl5Bl0i4bw==" spinCount="100000" sheet="1" objects="1" scenarios="1"/>
  <sortState ref="M28:N35">
    <sortCondition ref="M28:M35"/>
  </sortState>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theme="1"/>
  </sheetPr>
  <dimension ref="B2:I24"/>
  <sheetViews>
    <sheetView zoomScale="85" zoomScaleNormal="85" workbookViewId="0">
      <selection activeCell="F7" sqref="F7"/>
    </sheetView>
  </sheetViews>
  <sheetFormatPr defaultRowHeight="14.4" x14ac:dyDescent="0.3"/>
  <cols>
    <col min="2" max="2" width="14" customWidth="1"/>
    <col min="3" max="3" width="16.6640625" customWidth="1"/>
    <col min="4" max="4" width="14.109375" bestFit="1" customWidth="1"/>
    <col min="5" max="5" width="17.33203125" bestFit="1" customWidth="1"/>
    <col min="6" max="6" width="18.6640625" bestFit="1" customWidth="1"/>
    <col min="7" max="7" width="14.109375" bestFit="1" customWidth="1"/>
    <col min="8" max="8" width="13.88671875" customWidth="1"/>
    <col min="9" max="9" width="14.88671875" bestFit="1" customWidth="1"/>
    <col min="10" max="10" width="11" bestFit="1" customWidth="1"/>
  </cols>
  <sheetData>
    <row r="2" spans="2:9" x14ac:dyDescent="0.3">
      <c r="B2" s="3" t="s">
        <v>167</v>
      </c>
    </row>
    <row r="4" spans="2:9" x14ac:dyDescent="0.3">
      <c r="B4" s="49" t="s">
        <v>58</v>
      </c>
      <c r="C4" s="49" t="s">
        <v>59</v>
      </c>
      <c r="D4" s="49" t="s">
        <v>60</v>
      </c>
      <c r="E4" s="49" t="s">
        <v>166</v>
      </c>
      <c r="F4" s="123"/>
    </row>
    <row r="5" spans="2:9" x14ac:dyDescent="0.3">
      <c r="B5" s="50" t="s">
        <v>95</v>
      </c>
      <c r="C5" s="50" t="s">
        <v>96</v>
      </c>
      <c r="D5" s="51">
        <v>0</v>
      </c>
      <c r="E5" s="73">
        <v>4327</v>
      </c>
      <c r="F5" s="99"/>
    </row>
    <row r="6" spans="2:9" x14ac:dyDescent="0.3">
      <c r="B6" s="50" t="s">
        <v>61</v>
      </c>
      <c r="C6" s="50" t="s">
        <v>62</v>
      </c>
      <c r="D6" s="51">
        <v>3.0000000000000001E-3</v>
      </c>
      <c r="E6" s="73">
        <v>28800</v>
      </c>
      <c r="F6" s="99"/>
    </row>
    <row r="7" spans="2:9" x14ac:dyDescent="0.3">
      <c r="B7" s="50" t="s">
        <v>63</v>
      </c>
      <c r="C7" s="50" t="s">
        <v>64</v>
      </c>
      <c r="D7" s="51">
        <v>4.7E-2</v>
      </c>
      <c r="E7" s="73">
        <v>451200</v>
      </c>
      <c r="F7" s="99"/>
    </row>
    <row r="8" spans="2:9" x14ac:dyDescent="0.3">
      <c r="B8" s="50" t="s">
        <v>65</v>
      </c>
      <c r="C8" s="50" t="s">
        <v>66</v>
      </c>
      <c r="D8" s="51">
        <v>0.105</v>
      </c>
      <c r="E8" s="73">
        <v>1008000</v>
      </c>
      <c r="F8" s="99"/>
    </row>
    <row r="9" spans="2:9" x14ac:dyDescent="0.3">
      <c r="B9" s="50" t="s">
        <v>67</v>
      </c>
      <c r="C9" s="50" t="s">
        <v>68</v>
      </c>
      <c r="D9" s="51">
        <v>0.26600000000000001</v>
      </c>
      <c r="E9" s="73">
        <v>2553600</v>
      </c>
      <c r="F9" s="99"/>
    </row>
    <row r="10" spans="2:9" x14ac:dyDescent="0.3">
      <c r="B10" s="50" t="s">
        <v>69</v>
      </c>
      <c r="C10" s="50" t="s">
        <v>70</v>
      </c>
      <c r="D10" s="51">
        <v>0.59299999999999997</v>
      </c>
      <c r="E10" s="73">
        <v>5692800</v>
      </c>
      <c r="F10" s="99"/>
    </row>
    <row r="11" spans="2:9" x14ac:dyDescent="0.3">
      <c r="B11" s="50" t="s">
        <v>71</v>
      </c>
      <c r="C11" s="50" t="s">
        <v>72</v>
      </c>
      <c r="D11" s="51">
        <v>1</v>
      </c>
      <c r="E11" s="73">
        <v>9600000</v>
      </c>
      <c r="F11" s="99"/>
    </row>
    <row r="14" spans="2:9" x14ac:dyDescent="0.3">
      <c r="B14" s="3" t="s">
        <v>98</v>
      </c>
    </row>
    <row r="16" spans="2:9" x14ac:dyDescent="0.3">
      <c r="B16" s="49" t="s">
        <v>58</v>
      </c>
      <c r="C16" s="67" t="s">
        <v>59</v>
      </c>
      <c r="D16" s="49" t="s">
        <v>89</v>
      </c>
      <c r="E16" s="49" t="s">
        <v>94</v>
      </c>
      <c r="F16" s="49" t="s">
        <v>93</v>
      </c>
      <c r="G16" s="49" t="s">
        <v>92</v>
      </c>
      <c r="H16" s="49" t="s">
        <v>91</v>
      </c>
      <c r="I16" s="49" t="s">
        <v>90</v>
      </c>
    </row>
    <row r="17" spans="2:9" x14ac:dyDescent="0.3">
      <c r="B17" s="49" t="s">
        <v>95</v>
      </c>
      <c r="C17" s="67" t="s">
        <v>96</v>
      </c>
      <c r="D17" s="68">
        <v>0</v>
      </c>
      <c r="E17" s="68">
        <v>3.4369999999999998E-2</v>
      </c>
      <c r="F17" s="68">
        <v>8.3470000000000003E-2</v>
      </c>
      <c r="G17" s="68">
        <v>0.23436999999999999</v>
      </c>
      <c r="H17" s="68">
        <v>0.92534000000000005</v>
      </c>
      <c r="I17" s="68">
        <v>0.43675999999999998</v>
      </c>
    </row>
    <row r="18" spans="2:9" x14ac:dyDescent="0.3">
      <c r="B18" s="49" t="s">
        <v>61</v>
      </c>
      <c r="C18" s="50" t="s">
        <v>62</v>
      </c>
      <c r="D18" s="68">
        <v>0</v>
      </c>
      <c r="E18" s="68">
        <v>0.55449000000000004</v>
      </c>
      <c r="F18" s="68">
        <v>0.76842999999999995</v>
      </c>
      <c r="G18" s="68">
        <v>0.68945999999999996</v>
      </c>
      <c r="H18" s="68">
        <v>7.2569999999999996E-2</v>
      </c>
      <c r="I18" s="68">
        <v>0.41738999999999998</v>
      </c>
    </row>
    <row r="19" spans="2:9" x14ac:dyDescent="0.3">
      <c r="B19" s="49" t="s">
        <v>63</v>
      </c>
      <c r="C19" s="50" t="s">
        <v>64</v>
      </c>
      <c r="D19" s="68">
        <v>0</v>
      </c>
      <c r="E19" s="68">
        <v>0.20907999999999999</v>
      </c>
      <c r="F19" s="68">
        <v>0.10897999999999999</v>
      </c>
      <c r="G19" s="68">
        <v>6.3909999999999995E-2</v>
      </c>
      <c r="H19" s="68">
        <v>1.98E-3</v>
      </c>
      <c r="I19" s="68">
        <v>8.8719999999999993E-2</v>
      </c>
    </row>
    <row r="20" spans="2:9" x14ac:dyDescent="0.3">
      <c r="B20" s="49" t="s">
        <v>65</v>
      </c>
      <c r="C20" s="50" t="s">
        <v>66</v>
      </c>
      <c r="D20" s="68">
        <v>0</v>
      </c>
      <c r="E20" s="68">
        <v>0.14437</v>
      </c>
      <c r="F20" s="68">
        <v>3.1910000000000001E-2</v>
      </c>
      <c r="G20" s="68">
        <v>1.0710000000000001E-2</v>
      </c>
      <c r="H20" s="68">
        <v>8.0000000000000007E-5</v>
      </c>
      <c r="I20" s="68">
        <v>4.8169999999999998E-2</v>
      </c>
    </row>
    <row r="21" spans="2:9" x14ac:dyDescent="0.3">
      <c r="B21" s="49" t="s">
        <v>67</v>
      </c>
      <c r="C21" s="50" t="s">
        <v>68</v>
      </c>
      <c r="D21" s="68">
        <v>0</v>
      </c>
      <c r="E21" s="68">
        <v>3.986E-2</v>
      </c>
      <c r="F21" s="68">
        <v>6.1999999999999998E-3</v>
      </c>
      <c r="G21" s="68">
        <v>1.42E-3</v>
      </c>
      <c r="H21" s="68">
        <v>0</v>
      </c>
      <c r="I21" s="68">
        <v>6.1700000000000001E-3</v>
      </c>
    </row>
    <row r="22" spans="2:9" x14ac:dyDescent="0.3">
      <c r="B22" s="49" t="s">
        <v>69</v>
      </c>
      <c r="C22" s="50" t="s">
        <v>70</v>
      </c>
      <c r="D22" s="68">
        <v>0</v>
      </c>
      <c r="E22" s="68">
        <v>1.7829999999999999E-2</v>
      </c>
      <c r="F22" s="68">
        <v>1.01E-3</v>
      </c>
      <c r="G22" s="68">
        <v>1.2999999999999999E-4</v>
      </c>
      <c r="H22" s="68">
        <v>3.0000000000000001E-5</v>
      </c>
      <c r="I22" s="68">
        <v>2.7899999999999999E-3</v>
      </c>
    </row>
    <row r="23" spans="2:9" x14ac:dyDescent="0.3">
      <c r="B23" s="49" t="s">
        <v>71</v>
      </c>
      <c r="C23" s="50" t="s">
        <v>72</v>
      </c>
      <c r="D23" s="68">
        <v>1</v>
      </c>
      <c r="E23" s="68">
        <v>0</v>
      </c>
      <c r="F23" s="68">
        <v>0</v>
      </c>
      <c r="G23" s="68">
        <v>0</v>
      </c>
      <c r="H23" s="68">
        <v>0</v>
      </c>
      <c r="I23" s="68">
        <v>0</v>
      </c>
    </row>
    <row r="24" spans="2:9" x14ac:dyDescent="0.3">
      <c r="B24" s="160" t="s">
        <v>97</v>
      </c>
      <c r="C24" s="160"/>
      <c r="D24" s="69">
        <f t="shared" ref="D24:I24" si="0">SUM(D17:D23)</f>
        <v>1</v>
      </c>
      <c r="E24" s="69">
        <f t="shared" si="0"/>
        <v>1</v>
      </c>
      <c r="F24" s="69">
        <f t="shared" si="0"/>
        <v>0.99999999999999989</v>
      </c>
      <c r="G24" s="69">
        <f t="shared" si="0"/>
        <v>0.99999999999999989</v>
      </c>
      <c r="H24" s="69">
        <f t="shared" si="0"/>
        <v>1</v>
      </c>
      <c r="I24" s="69">
        <f t="shared" si="0"/>
        <v>1</v>
      </c>
    </row>
  </sheetData>
  <sheetProtection algorithmName="SHA-512" hashValue="tbXHDyfdLMNVxivld8/ESGQ2UkV4+1X8uE8ksbpYr8UDK/mR8OH16RgAByvyI7auJZU9zP/jztpo+pLdWdhJfA==" saltValue="ivsj3z4oQ3zOFKqxSiGrAQ==" spinCount="100000" sheet="1" objects="1" scenarios="1"/>
  <mergeCells count="1">
    <mergeCell ref="B24:C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1285E-9967-42B5-9947-548454EE393F}">
  <sheetPr>
    <tabColor theme="1" tint="4.9989318521683403E-2"/>
  </sheetPr>
  <dimension ref="C4:D15"/>
  <sheetViews>
    <sheetView topLeftCell="A3" workbookViewId="0">
      <selection activeCell="L41" sqref="L41"/>
    </sheetView>
  </sheetViews>
  <sheetFormatPr defaultRowHeight="14.4" x14ac:dyDescent="0.3"/>
  <cols>
    <col min="3" max="3" width="34.6640625" customWidth="1"/>
    <col min="4" max="4" width="13.6640625" customWidth="1"/>
  </cols>
  <sheetData>
    <row r="4" spans="3:4" x14ac:dyDescent="0.3">
      <c r="C4" s="126" t="s">
        <v>188</v>
      </c>
      <c r="D4" s="127" t="s">
        <v>179</v>
      </c>
    </row>
    <row r="5" spans="3:4" x14ac:dyDescent="0.3">
      <c r="C5" s="50" t="s">
        <v>182</v>
      </c>
      <c r="D5" s="125">
        <v>10</v>
      </c>
    </row>
    <row r="6" spans="3:4" x14ac:dyDescent="0.3">
      <c r="C6" s="50" t="s">
        <v>184</v>
      </c>
      <c r="D6" s="125">
        <v>10</v>
      </c>
    </row>
    <row r="7" spans="3:4" x14ac:dyDescent="0.3">
      <c r="C7" s="50" t="s">
        <v>176</v>
      </c>
      <c r="D7" s="125">
        <v>10</v>
      </c>
    </row>
    <row r="8" spans="3:4" x14ac:dyDescent="0.3">
      <c r="C8" s="64" t="s">
        <v>181</v>
      </c>
      <c r="D8" s="128">
        <v>20</v>
      </c>
    </row>
    <row r="9" spans="3:4" x14ac:dyDescent="0.3">
      <c r="C9" s="64" t="s">
        <v>185</v>
      </c>
      <c r="D9" s="128">
        <v>20</v>
      </c>
    </row>
    <row r="10" spans="3:4" x14ac:dyDescent="0.3">
      <c r="C10" s="50" t="s">
        <v>180</v>
      </c>
      <c r="D10" s="125">
        <v>30</v>
      </c>
    </row>
    <row r="11" spans="3:4" x14ac:dyDescent="0.3">
      <c r="C11" s="50" t="s">
        <v>177</v>
      </c>
      <c r="D11" s="125">
        <v>20</v>
      </c>
    </row>
    <row r="12" spans="3:4" x14ac:dyDescent="0.3">
      <c r="C12" s="50" t="s">
        <v>186</v>
      </c>
      <c r="D12" s="125">
        <v>10</v>
      </c>
    </row>
    <row r="13" spans="3:4" x14ac:dyDescent="0.3">
      <c r="C13" s="50" t="s">
        <v>178</v>
      </c>
      <c r="D13" s="125">
        <v>20</v>
      </c>
    </row>
    <row r="14" spans="3:4" x14ac:dyDescent="0.3">
      <c r="C14" s="50" t="s">
        <v>183</v>
      </c>
      <c r="D14" s="125">
        <v>20</v>
      </c>
    </row>
    <row r="15" spans="3:4" x14ac:dyDescent="0.3">
      <c r="C15" s="50" t="s">
        <v>199</v>
      </c>
      <c r="D15" s="125">
        <v>30</v>
      </c>
    </row>
  </sheetData>
  <sheetProtection algorithmName="SHA-512" hashValue="IhWs7lEcmPfy5VneQ9aVNuhuJVZ44cH8/ymgNe/W3ELeyhnSwXeY+IONMkdP39QE6/CgrbkbBay58u5wBUWGLg==" saltValue="xcxnKQgFGKb8wwFAJQyye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39</vt:i4>
      </vt:variant>
    </vt:vector>
  </HeadingPairs>
  <TitlesOfParts>
    <vt:vector size="48" baseType="lpstr">
      <vt:lpstr>Instructions</vt:lpstr>
      <vt:lpstr>ITS Delay Worksheet</vt:lpstr>
      <vt:lpstr>Emissions Reduction Worksheet</vt:lpstr>
      <vt:lpstr>Inputs &amp; Outputs</vt:lpstr>
      <vt:lpstr>Calculations</vt:lpstr>
      <vt:lpstr>Assumed Values</vt:lpstr>
      <vt:lpstr>CRASH RATES</vt:lpstr>
      <vt:lpstr>Value of Statistical Life</vt:lpstr>
      <vt:lpstr>Service Life</vt:lpstr>
      <vt:lpstr>_2018_2025_Demand_Growth</vt:lpstr>
      <vt:lpstr>_2018_2025_V_C_Growth</vt:lpstr>
      <vt:lpstr>_2018_2045_Demand_Growth</vt:lpstr>
      <vt:lpstr>_2018_2045_V_C_Growth</vt:lpstr>
      <vt:lpstr>_2018_Capacity</vt:lpstr>
      <vt:lpstr>_2018_V_C_Ratio</vt:lpstr>
      <vt:lpstr>_2025_2040_V_C_Growth</vt:lpstr>
      <vt:lpstr>_2025_2045_Demand_Growth</vt:lpstr>
      <vt:lpstr>_2025_Capacity</vt:lpstr>
      <vt:lpstr>_2025_V_C_Ratio</vt:lpstr>
      <vt:lpstr>_2025_Volume</vt:lpstr>
      <vt:lpstr>_2045_Capacity</vt:lpstr>
      <vt:lpstr>_2045_V_C_Ratio</vt:lpstr>
      <vt:lpstr>_2045_Volume</vt:lpstr>
      <vt:lpstr>Application_ID_Number</vt:lpstr>
      <vt:lpstr>Base_Year</vt:lpstr>
      <vt:lpstr>Crash_Avg</vt:lpstr>
      <vt:lpstr>CRIS_Titles</vt:lpstr>
      <vt:lpstr>Death_Rate</vt:lpstr>
      <vt:lpstr>GDP_Deflator_Future</vt:lpstr>
      <vt:lpstr>Incap_Injry_Rate</vt:lpstr>
      <vt:lpstr>Name</vt:lpstr>
      <vt:lpstr>Non_Injry_Rate</vt:lpstr>
      <vt:lpstr>Nonincap_Injry_Rate</vt:lpstr>
      <vt:lpstr>Poss_Injry_Rate</vt:lpstr>
      <vt:lpstr>Possible_Crash_Reductions</vt:lpstr>
      <vt:lpstr>'Assumed Values'!Print_Area</vt:lpstr>
      <vt:lpstr>Calculations!Print_Area</vt:lpstr>
      <vt:lpstr>'Emissions Reduction Worksheet'!Print_Area</vt:lpstr>
      <vt:lpstr>'Inputs &amp; Outputs'!Print_Area</vt:lpstr>
      <vt:lpstr>Instructions!Print_Area</vt:lpstr>
      <vt:lpstr>'ITS Delay Worksheet'!Print_Area</vt:lpstr>
      <vt:lpstr>Service_Life</vt:lpstr>
      <vt:lpstr>Sponsor_ID_Number__CSJ__etc.</vt:lpstr>
      <vt:lpstr>Unkn_Injry_Rate</vt:lpstr>
      <vt:lpstr>Value_of_Delay_Savings__2015_____000s</vt:lpstr>
      <vt:lpstr>Value_of_Statistical_Life_2018</vt:lpstr>
      <vt:lpstr>Year_Open_to_Traffic?</vt:lpstr>
      <vt:lpstr>Years_to_include_in_BCA_Analysis</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Robert McHaney</cp:lastModifiedBy>
  <cp:lastPrinted>2018-08-02T19:00:00Z</cp:lastPrinted>
  <dcterms:created xsi:type="dcterms:W3CDTF">2012-07-25T15:48:32Z</dcterms:created>
  <dcterms:modified xsi:type="dcterms:W3CDTF">2018-10-25T17:38:59Z</dcterms:modified>
</cp:coreProperties>
</file>