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19320" windowHeight="11640" tabRatio="763" activeTab="4"/>
  </bookViews>
  <sheets>
    <sheet name="Instructions" sheetId="8" r:id="rId1"/>
    <sheet name="ITS Delay Worksheet" sheetId="7" state="hidden" r:id="rId2"/>
    <sheet name="Emissions Reduction Worksheet" sheetId="5" state="hidden" r:id="rId3"/>
    <sheet name="Inputs &amp; Outputs" sheetId="11" r:id="rId4"/>
    <sheet name="Narrative" sheetId="14" r:id="rId5"/>
    <sheet name="Calculations" sheetId="12" r:id="rId6"/>
    <sheet name="Assumed Values" sheetId="2" r:id="rId7"/>
    <sheet name="Value of Travel Time" sheetId="1" r:id="rId8"/>
    <sheet name="Delay Reduction Factors" sheetId="13" r:id="rId9"/>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6">'Assumed Values'!$B$2:$C$18</definedName>
    <definedName name="_xlnm.Print_Area" localSheetId="5">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4562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<sst xmlns="http://schemas.openxmlformats.org/spreadsheetml/2006/main" count="300" uniqueCount="246">
  <si>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</si>
  <si>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</si>
  <si>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</si>
  <si>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</si>
  <si>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</si>
  <si>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</si>
  <si>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</si>
  <si>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</si>
  <si>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</si>
  <si>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</si>
  <si>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</si>
  <si>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</si>
  <si>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</si>
  <si>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</si>
  <si>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</si>
  <si>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</si>
  <si>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</si>
  <si>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</si>
  <si>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</si>
  <si>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</si>
  <si>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</si>
  <si>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</si>
  <si>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</si>
  <si>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</si>
  <si>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</si>
  <si>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</si>
  <si>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</si>
  <si>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</si>
  <si>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</si>
  <si>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</si>
  <si>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</si>
  <si>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</si>
  <si>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</si>
  <si>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</si>
  <si>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</si>
  <si>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</si>
  <si>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</si>
  <si>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</si>
  <si>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</si>
  <si>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</si>
  <si>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</si>
  <si>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</si>
  <si>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</si>
  <si>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</si>
  <si>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</si>
  <si>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</si>
  <si>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</si>
  <si>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</si>
  <si>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</si>
  <si>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</si>
  <si>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</si>
  <si>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</si>
  <si>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</si>
  <si>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</si>
  <si>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</si>
  <si>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</si>
  <si>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</si>
  <si>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</si>
  <si>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</si>
  <si>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</si>
  <si>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</si>
  <si>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</si>
  <si>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</si>
  <si>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</si>
  <si>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</si>
  <si>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</si>
  <si>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</si>
  <si>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</si>
  <si>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</si>
  <si>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</si>
  <si>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</si>
  <si>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</si>
  <si>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</si>
  <si>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</si>
  <si>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</si>
  <si>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</si>
  <si>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</si>
  <si>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</si>
  <si>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</si>
  <si>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</si>
  <si>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</si>
  <si>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</si>
  <si>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</si>
  <si>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</si>
  <si>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</si>
  <si>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</si>
  <si>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</si>
  <si>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</si>
  <si>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</si>
  <si>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</si>
  <si>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</si>
  <si>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</si>
  <si>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</si>
  <si>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</si>
  <si>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</si>
  <si>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</si>
  <si>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</si>
  <si>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</si>
  <si>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</si>
  <si>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</si>
  <si>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</si>
  <si>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</si>
  <si>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</si>
  <si>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</si>
  <si>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</si>
  <si>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</si>
  <si>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</si>
  <si>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</si>
  <si>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</si>
  <si>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</si>
  <si>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</si>
  <si>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</si>
  <si>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</si>
  <si>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</si>
  <si>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</si>
  <si>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</si>
  <si>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</si>
  <si>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</si>
  <si>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</si>
  <si>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</si>
  <si>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</si>
  <si>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</si>
  <si>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</si>
  <si>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</si>
  <si>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</si>
  <si>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</si>
  <si>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</si>
  <si>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</si>
  <si>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</si>
  <si>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</si>
  <si>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</si>
  <si>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</si>
  <si>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</si>
  <si>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</si>
  <si>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</si>
  <si>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</si>
  <si>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</si>
  <si>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</si>
  <si>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</si>
  <si>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</si>
  <si>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</si>
  <si>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</si>
  <si>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</si>
  <si>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</si>
  <si>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</si>
  <si>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</si>
  <si>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</si>
  <si>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</si>
  <si>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</si>
  <si>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</si>
  <si>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</si>
  <si>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</si>
  <si>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</si>
  <si>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</si>
  <si>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</si>
  <si>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</si>
  <si>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</si>
  <si>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</si>
  <si>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</si>
  <si>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</si>
  <si>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</si>
  <si>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</si>
  <si>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</si>
  <si>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</si>
  <si>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</si>
  <si>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</si>
  <si>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</si>
  <si>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</si>
  <si>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</si>
  <si>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</si>
  <si>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</si>
  <si>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</si>
  <si>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</si>
  <si>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</si>
  <si>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</si>
  <si>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</si>
  <si>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</si>
  <si>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</si>
  <si>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</si>
  <si>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</si>
  <si>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</si>
  <si>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</si>
  <si>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</si>
  <si>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</si>
  <si>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</si>
  <si>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</si>
  <si>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</si>
  <si>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</si>
  <si>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</si>
  <si>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</si>
  <si>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</si>
  <si>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</si>
  <si>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</si>
  <si>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</si>
  <si>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</si>
  <si>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</si>
  <si>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</si>
  <si>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</si>
  <si>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</si>
  <si>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</si>
  <si>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</si>
  <si>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</si>
  <si>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</si>
  <si>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</si>
  <si>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</si>
  <si>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</si>
  <si>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</si>
  <si>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</si>
  <si>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</si>
  <si>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</si>
  <si>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</si>
  <si>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</si>
  <si>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</si>
  <si>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</si>
  <si>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</si>
  <si>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</si>
  <si>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</si>
  <si>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</si>
  <si>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</si>
  <si>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</si>
  <si>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</si>
  <si>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</si>
  <si>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</si>
  <si>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</si>
  <si>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</si>
  <si>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</si>
  <si>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</si>
  <si>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</si>
  <si>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</si>
  <si>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</si>
  <si>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</si>
  <si>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</si>
  <si>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</si>
  <si>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US 290</t>
  </si>
  <si>
    <t>Greenhouse Road</t>
  </si>
  <si>
    <t>Mound Road</t>
  </si>
  <si>
    <t>Greenhouse Rd./Skinner Rd. Underpass @ US 290/UPRR</t>
  </si>
  <si>
    <t>Criteria used in Delay Benefits Spreadsheet</t>
  </si>
  <si>
    <t>Similarly, 2025 Peak Period Roadway Capacity (68,824) and 2045 Peak Period Roadway Capacity (68,824) were estimated from 2025 and 2045 Build conditions model data (that includes Greenhouse Road extension) provided by H-GAC.</t>
  </si>
  <si>
    <t>The type of improvement is assumed as “Adding New Lanes or Roads” that provide 40% delay reductions with a service life of 20 years.</t>
  </si>
  <si>
    <t>AMVOL_T and PMVOL_T were extracted from H-GAC base year models (Year 2017) for Fry Road and Barker Cypress Road. All these volumes are added to obtain 2018 Peak Period Traffic Volume (23,276).</t>
  </si>
  <si>
    <t>AMVOL_T and PMVOL_T were extracted from H-GAC Build condition models (Year 2025) for Fry Road, Barker Cypress Road and proposed Greenhouse Road. All these volumes are added to obtain 2025 Peak Period Traffic Volume (50,781).</t>
  </si>
  <si>
    <t>AMVOL_T and PMVOL_T were extracted from H-GAC Build condition models (Year 2045) for Fry Road, Barker Cypress Road and proposed Greenhouse Road. All these volumes are added to obtain 2045 Peak Period Traffic Volume (63,543).</t>
  </si>
  <si>
    <t>PKCAP (Capacity/hour/direction) were extracted from the H-GAC base year models (Year 2017) for Fry Road and Barker Cypress Road. For each roadway segment, this PKCAP was multiplied by total peak period (3 hr in the morning and 4 hr in the afternoon) and by 2 for both directions. Aggregate capacity for Fry Road and Barker Cypress Road was utilized as 2018 Peak Period Roadway Capacity (45,724).</t>
  </si>
  <si>
    <t>Free Flow Speed (FFS) data were extracted from base year models (Year 2018) for both Fry Road and Barker Cypress Road. Both corridors show FFS as 40.5 mph. Therefore, estimated Free Flow Speed before improvement is assumed as 41 mph for this project.</t>
  </si>
  <si>
    <t>AM3HRSPD and PM4HRSPD data were extracted from Year 2017 models for both Fry Road and Barker Cypress Road in both directions. All data are averaged to obtain Average Peak Period Corridor Speed before improvement (19 mph).</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</si>
</sst>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
      <sz val="12"/>
      <color theme="1"/>
      <name val="Times New Roman"/>
      <family val="1"/>
    </font>
    <font>
      <sz val="12"/>
      <color theme="1"/>
      <name val="Calibri"/>
      <family val="2"/>
      <scheme val="minor"/>
    </font>
    <font>
      <b/>
      <u/>
      <sz val="12"/>
      <color theme="1"/>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2">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xf numFmtId="0" fontId="0" fillId="0" borderId="0" xfId="0" applyAlignment="1">
      <alignment wrapText="1"/>
    </xf>
    <xf numFmtId="0" fontId="14" fillId="0" borderId="0" xfId="0" applyFont="1" applyAlignment="1">
      <alignment wrapText="1"/>
    </xf>
    <xf numFmtId="0" fontId="14" fillId="0" borderId="0" xfId="0" applyFont="1" applyAlignment="1">
      <alignment vertical="center" wrapText="1"/>
    </xf>
    <xf numFmtId="0" fontId="16" fillId="0" borderId="0" xfId="0" applyFont="1" applyAlignment="1">
      <alignment vertical="top" wrapText="1"/>
    </xf>
    <xf numFmtId="0" fontId="15" fillId="0" borderId="0" xfId="0" applyFont="1" applyAlignment="1">
      <alignment vertical="center" wrapText="1"/>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24"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4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ht="14.25" x14ac:dyDescent="0.45">
      <c r="A3" s="9" t="s">
        <v>10</v>
      </c>
      <c r="D3" s="9" t="s">
        <v>30</v>
      </c>
      <c r="E3" s="10" t="s">
        <v>20</v>
      </c>
      <c r="G3" s="16" t="s">
        <v>24</v>
      </c>
      <c r="H3" s="16"/>
      <c r="I3" s="16" t="s">
        <v>31</v>
      </c>
      <c r="J3" s="16" t="s">
        <v>55</v>
      </c>
    </row>
    <row r="4" spans="1:10" ht="14.25" x14ac:dyDescent="0.45">
      <c r="A4" s="7" t="s">
        <v>15</v>
      </c>
      <c r="B4" s="8"/>
      <c r="D4" s="7" t="s">
        <v>52</v>
      </c>
      <c r="E4" s="50">
        <v>2015</v>
      </c>
      <c r="G4" s="14">
        <f>E4</f>
        <v>2015</v>
      </c>
      <c r="H4" s="14">
        <f>IF(G4&lt;2041,1,0)</f>
        <v>1</v>
      </c>
      <c r="I4" s="24">
        <f>IF($G4&lt;($G$4+$E$5),$E$17,0)*H4</f>
        <v>0</v>
      </c>
      <c r="J4" s="38">
        <f>I4*$B$18*$B$19/10^3</f>
        <v>0</v>
      </c>
    </row>
    <row r="5" spans="1:10" ht="14.25" x14ac:dyDescent="0.4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ht="14.25" x14ac:dyDescent="0.45">
      <c r="A6" s="7" t="s">
        <v>17</v>
      </c>
      <c r="B6" s="8">
        <v>1</v>
      </c>
      <c r="D6" s="149" t="s">
        <v>40</v>
      </c>
      <c r="E6" s="150"/>
      <c r="G6" s="14">
        <f t="shared" si="0"/>
        <v>2017</v>
      </c>
      <c r="H6" s="14">
        <f t="shared" si="1"/>
        <v>1</v>
      </c>
      <c r="I6" s="24">
        <f t="shared" si="2"/>
        <v>0</v>
      </c>
      <c r="J6" s="38">
        <f t="shared" si="3"/>
        <v>0</v>
      </c>
    </row>
    <row r="7" spans="1:10" ht="14.25" x14ac:dyDescent="0.45">
      <c r="A7" s="7" t="s">
        <v>53</v>
      </c>
      <c r="B7" s="26"/>
      <c r="D7" s="7" t="s">
        <v>50</v>
      </c>
      <c r="E7" s="11"/>
      <c r="G7" s="15">
        <f t="shared" si="0"/>
        <v>2018</v>
      </c>
      <c r="H7" s="15">
        <f t="shared" si="1"/>
        <v>1</v>
      </c>
      <c r="I7" s="24">
        <f t="shared" si="2"/>
        <v>0</v>
      </c>
      <c r="J7" s="45">
        <f t="shared" si="3"/>
        <v>0</v>
      </c>
    </row>
    <row r="8" spans="1:10" ht="14.25" x14ac:dyDescent="0.45">
      <c r="A8" s="25" t="s">
        <v>54</v>
      </c>
      <c r="B8" s="26"/>
      <c r="D8" s="7" t="s">
        <v>48</v>
      </c>
      <c r="E8" s="49">
        <v>1.1499999999999999</v>
      </c>
      <c r="G8" s="14">
        <f t="shared" si="0"/>
        <v>2019</v>
      </c>
      <c r="H8" s="14">
        <f t="shared" si="1"/>
        <v>1</v>
      </c>
      <c r="I8" s="24">
        <f t="shared" si="2"/>
        <v>0</v>
      </c>
      <c r="J8" s="38">
        <f t="shared" si="3"/>
        <v>0</v>
      </c>
    </row>
    <row r="9" spans="1:10" ht="14.25" x14ac:dyDescent="0.45">
      <c r="G9" s="15">
        <f t="shared" si="0"/>
        <v>2020</v>
      </c>
      <c r="H9" s="15">
        <f t="shared" si="1"/>
        <v>1</v>
      </c>
      <c r="I9" s="24">
        <f t="shared" si="2"/>
        <v>0</v>
      </c>
      <c r="J9" s="45">
        <f t="shared" si="3"/>
        <v>0</v>
      </c>
    </row>
    <row r="10" spans="1:10" ht="14.25" x14ac:dyDescent="0.45">
      <c r="A10" s="13" t="s">
        <v>29</v>
      </c>
      <c r="G10" s="14">
        <f t="shared" si="0"/>
        <v>2021</v>
      </c>
      <c r="H10" s="14">
        <f t="shared" si="1"/>
        <v>1</v>
      </c>
      <c r="I10" s="24">
        <f t="shared" si="2"/>
        <v>0</v>
      </c>
      <c r="J10" s="38">
        <f t="shared" si="3"/>
        <v>0</v>
      </c>
    </row>
    <row r="11" spans="1:10" ht="14.25" x14ac:dyDescent="0.45">
      <c r="A11" s="12" t="s">
        <v>51</v>
      </c>
      <c r="B11" s="47">
        <f>NPV($B$17,J4:J29)/(1+$B$17)^(E4-B16+1)</f>
        <v>0</v>
      </c>
      <c r="G11" s="15">
        <f t="shared" si="0"/>
        <v>2022</v>
      </c>
      <c r="H11" s="15">
        <f t="shared" si="1"/>
        <v>1</v>
      </c>
      <c r="I11" s="24">
        <f t="shared" si="2"/>
        <v>0</v>
      </c>
      <c r="J11" s="45">
        <f t="shared" si="3"/>
        <v>0</v>
      </c>
    </row>
    <row r="12" spans="1:10" ht="14.25" x14ac:dyDescent="0.45">
      <c r="A12" s="12" t="s">
        <v>28</v>
      </c>
      <c r="B12" s="44" t="e">
        <f>B11/B7</f>
        <v>#DIV/0!</v>
      </c>
      <c r="G12" s="14">
        <f t="shared" si="0"/>
        <v>2023</v>
      </c>
      <c r="H12" s="14">
        <f t="shared" si="1"/>
        <v>1</v>
      </c>
      <c r="I12" s="24">
        <f t="shared" si="2"/>
        <v>0</v>
      </c>
      <c r="J12" s="38">
        <f t="shared" si="3"/>
        <v>0</v>
      </c>
    </row>
    <row r="13" spans="1:10" ht="14.25" x14ac:dyDescent="0.45">
      <c r="G13" s="15">
        <f t="shared" si="0"/>
        <v>2024</v>
      </c>
      <c r="H13" s="15">
        <f t="shared" si="1"/>
        <v>1</v>
      </c>
      <c r="I13" s="24">
        <f t="shared" si="2"/>
        <v>0</v>
      </c>
      <c r="J13" s="45">
        <f t="shared" si="3"/>
        <v>0</v>
      </c>
    </row>
    <row r="14" spans="1:10" ht="14.25" x14ac:dyDescent="0.45">
      <c r="G14" s="14">
        <f>G13+1</f>
        <v>2025</v>
      </c>
      <c r="H14" s="14">
        <f t="shared" si="1"/>
        <v>1</v>
      </c>
      <c r="I14" s="24">
        <f t="shared" si="2"/>
        <v>0</v>
      </c>
      <c r="J14" s="38">
        <f t="shared" si="3"/>
        <v>0</v>
      </c>
    </row>
    <row r="15" spans="1:10" ht="14.25" x14ac:dyDescent="0.45">
      <c r="A15" s="17" t="s">
        <v>11</v>
      </c>
      <c r="G15" s="15">
        <f t="shared" si="0"/>
        <v>2026</v>
      </c>
      <c r="H15" s="15">
        <f t="shared" si="1"/>
        <v>1</v>
      </c>
      <c r="I15" s="24">
        <f t="shared" si="2"/>
        <v>0</v>
      </c>
      <c r="J15" s="45">
        <f t="shared" si="3"/>
        <v>0</v>
      </c>
    </row>
    <row r="16" spans="1:10" ht="14.25" x14ac:dyDescent="0.45">
      <c r="A16" s="18" t="s">
        <v>12</v>
      </c>
      <c r="B16" s="30">
        <f>'Assumed Values'!C5</f>
        <v>2018</v>
      </c>
      <c r="D16" s="17" t="s">
        <v>26</v>
      </c>
      <c r="E16" s="27" t="s">
        <v>20</v>
      </c>
      <c r="G16" s="14">
        <f t="shared" si="0"/>
        <v>2027</v>
      </c>
      <c r="H16" s="14">
        <f t="shared" si="1"/>
        <v>1</v>
      </c>
      <c r="I16" s="24">
        <f t="shared" si="2"/>
        <v>0</v>
      </c>
      <c r="J16" s="38">
        <f t="shared" si="3"/>
        <v>0</v>
      </c>
    </row>
    <row r="17" spans="1:10" ht="14.25" x14ac:dyDescent="0.45">
      <c r="A17" s="18" t="s">
        <v>13</v>
      </c>
      <c r="B17" s="19">
        <f>'Assumed Values'!C6</f>
        <v>7.0000000000000007E-2</v>
      </c>
      <c r="D17" s="21" t="s">
        <v>49</v>
      </c>
      <c r="E17" s="22">
        <f>E7/E8</f>
        <v>0</v>
      </c>
      <c r="G17" s="15">
        <f t="shared" si="0"/>
        <v>2028</v>
      </c>
      <c r="H17" s="15">
        <f t="shared" si="1"/>
        <v>1</v>
      </c>
      <c r="I17" s="24">
        <f t="shared" si="2"/>
        <v>0</v>
      </c>
      <c r="J17" s="45">
        <f t="shared" si="3"/>
        <v>0</v>
      </c>
    </row>
    <row r="18" spans="1:10" ht="14.25" x14ac:dyDescent="0.45">
      <c r="A18" s="18" t="s">
        <v>14</v>
      </c>
      <c r="B18" s="18">
        <f>IF(B6=2,2.1, 1.1)</f>
        <v>1.1000000000000001</v>
      </c>
      <c r="G18" s="14">
        <f t="shared" si="0"/>
        <v>2029</v>
      </c>
      <c r="H18" s="14">
        <f t="shared" si="1"/>
        <v>1</v>
      </c>
      <c r="I18" s="24">
        <f t="shared" si="2"/>
        <v>0</v>
      </c>
      <c r="J18" s="38">
        <f t="shared" si="3"/>
        <v>0</v>
      </c>
    </row>
    <row r="19" spans="1:10" ht="14.25" x14ac:dyDescent="0.45">
      <c r="A19" s="18" t="s">
        <v>18</v>
      </c>
      <c r="B19" s="20">
        <f>'Assumed Values'!C9</f>
        <v>17.728589999999997</v>
      </c>
      <c r="G19" s="15">
        <f t="shared" si="0"/>
        <v>2030</v>
      </c>
      <c r="H19" s="15">
        <f t="shared" si="1"/>
        <v>1</v>
      </c>
      <c r="I19" s="24">
        <f t="shared" si="2"/>
        <v>0</v>
      </c>
      <c r="J19" s="45">
        <f t="shared" si="3"/>
        <v>0</v>
      </c>
    </row>
    <row r="20" spans="1:10" ht="14.25" x14ac:dyDescent="0.45">
      <c r="A20" s="18" t="s">
        <v>27</v>
      </c>
      <c r="B20" s="18">
        <v>260</v>
      </c>
      <c r="G20" s="14">
        <f t="shared" si="0"/>
        <v>2031</v>
      </c>
      <c r="H20" s="14">
        <f t="shared" si="1"/>
        <v>1</v>
      </c>
      <c r="I20" s="24">
        <f t="shared" si="2"/>
        <v>0</v>
      </c>
      <c r="J20" s="38">
        <f t="shared" si="3"/>
        <v>0</v>
      </c>
    </row>
    <row r="21" spans="1:10" ht="14.25" x14ac:dyDescent="0.45">
      <c r="G21" s="15">
        <f t="shared" si="0"/>
        <v>2032</v>
      </c>
      <c r="H21" s="15">
        <f t="shared" si="1"/>
        <v>1</v>
      </c>
      <c r="I21" s="24">
        <f t="shared" si="2"/>
        <v>0</v>
      </c>
      <c r="J21" s="45">
        <f t="shared" si="3"/>
        <v>0</v>
      </c>
    </row>
    <row r="22" spans="1:10" ht="14.25" x14ac:dyDescent="0.45">
      <c r="G22" s="14">
        <f t="shared" si="0"/>
        <v>2033</v>
      </c>
      <c r="H22" s="14">
        <f t="shared" si="1"/>
        <v>1</v>
      </c>
      <c r="I22" s="24">
        <f t="shared" si="2"/>
        <v>0</v>
      </c>
      <c r="J22" s="38">
        <f t="shared" si="3"/>
        <v>0</v>
      </c>
    </row>
    <row r="23" spans="1:10" ht="14.25" x14ac:dyDescent="0.45">
      <c r="G23" s="15">
        <f t="shared" si="0"/>
        <v>2034</v>
      </c>
      <c r="H23" s="15">
        <f t="shared" si="1"/>
        <v>1</v>
      </c>
      <c r="I23" s="24">
        <f t="shared" si="2"/>
        <v>0</v>
      </c>
      <c r="J23" s="45">
        <f t="shared" si="3"/>
        <v>0</v>
      </c>
    </row>
    <row r="24" spans="1:10" ht="14.25" x14ac:dyDescent="0.45">
      <c r="G24" s="14">
        <f t="shared" si="0"/>
        <v>2035</v>
      </c>
      <c r="H24" s="14">
        <f t="shared" si="1"/>
        <v>1</v>
      </c>
      <c r="I24" s="24">
        <f t="shared" si="2"/>
        <v>0</v>
      </c>
      <c r="J24" s="38">
        <f t="shared" si="3"/>
        <v>0</v>
      </c>
    </row>
    <row r="25" spans="1:10" ht="14.25" x14ac:dyDescent="0.45">
      <c r="G25" s="15">
        <f t="shared" si="0"/>
        <v>2036</v>
      </c>
      <c r="H25" s="15">
        <f t="shared" si="1"/>
        <v>1</v>
      </c>
      <c r="I25" s="24">
        <f t="shared" si="2"/>
        <v>0</v>
      </c>
      <c r="J25" s="45">
        <f t="shared" ref="J25:J29" si="4">I25*$B$18*$B$19/10^3</f>
        <v>0</v>
      </c>
    </row>
    <row r="26" spans="1:10" ht="14.25" x14ac:dyDescent="0.45">
      <c r="G26" s="14">
        <f t="shared" si="0"/>
        <v>2037</v>
      </c>
      <c r="H26" s="14">
        <f t="shared" si="1"/>
        <v>1</v>
      </c>
      <c r="I26" s="24">
        <f t="shared" si="2"/>
        <v>0</v>
      </c>
      <c r="J26" s="38">
        <f t="shared" si="4"/>
        <v>0</v>
      </c>
    </row>
    <row r="27" spans="1:10" ht="14.25" x14ac:dyDescent="0.45">
      <c r="G27" s="15">
        <f t="shared" si="0"/>
        <v>2038</v>
      </c>
      <c r="H27" s="15">
        <f t="shared" si="1"/>
        <v>1</v>
      </c>
      <c r="I27" s="24">
        <f t="shared" si="2"/>
        <v>0</v>
      </c>
      <c r="J27" s="45">
        <f t="shared" si="4"/>
        <v>0</v>
      </c>
    </row>
    <row r="28" spans="1:10" ht="14.25" x14ac:dyDescent="0.45">
      <c r="G28" s="14">
        <f t="shared" si="0"/>
        <v>2039</v>
      </c>
      <c r="H28" s="14">
        <f t="shared" si="1"/>
        <v>1</v>
      </c>
      <c r="I28" s="24">
        <f t="shared" si="2"/>
        <v>0</v>
      </c>
      <c r="J28" s="38">
        <f t="shared" si="4"/>
        <v>0</v>
      </c>
    </row>
    <row r="29" spans="1:10" ht="14.25" x14ac:dyDescent="0.4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ht="14.25" x14ac:dyDescent="0.45">
      <c r="A3" s="9" t="s">
        <v>10</v>
      </c>
      <c r="D3" s="9" t="s">
        <v>38</v>
      </c>
      <c r="E3" s="10" t="s">
        <v>20</v>
      </c>
      <c r="G3" s="16" t="s">
        <v>24</v>
      </c>
      <c r="H3" s="16" t="s">
        <v>47</v>
      </c>
      <c r="I3" s="16" t="s">
        <v>58</v>
      </c>
      <c r="J3" s="16" t="s">
        <v>46</v>
      </c>
      <c r="K3" s="16" t="s">
        <v>59</v>
      </c>
    </row>
    <row r="4" spans="1:11" ht="14.25" x14ac:dyDescent="0.4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ht="14.25" x14ac:dyDescent="0.4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ht="14.25" x14ac:dyDescent="0.45">
      <c r="A6" s="7" t="s">
        <v>43</v>
      </c>
      <c r="B6" s="8">
        <v>2</v>
      </c>
      <c r="D6" s="149" t="s">
        <v>40</v>
      </c>
      <c r="E6" s="150"/>
      <c r="G6" s="14">
        <f t="shared" si="2"/>
        <v>2017</v>
      </c>
      <c r="H6" s="41" t="e">
        <f t="shared" si="0"/>
        <v>#REF!</v>
      </c>
      <c r="I6" s="40" t="e">
        <f t="shared" si="3"/>
        <v>#REF!</v>
      </c>
      <c r="J6" s="41" t="e">
        <f t="shared" si="1"/>
        <v>#REF!</v>
      </c>
      <c r="K6" s="40" t="e">
        <f t="shared" si="4"/>
        <v>#REF!</v>
      </c>
    </row>
    <row r="7" spans="1:11" ht="14.25" x14ac:dyDescent="0.45">
      <c r="A7" s="7" t="s">
        <v>53</v>
      </c>
      <c r="B7" s="26"/>
      <c r="D7" s="7" t="s">
        <v>39</v>
      </c>
      <c r="E7" s="11"/>
      <c r="G7" s="15">
        <f t="shared" si="2"/>
        <v>2018</v>
      </c>
      <c r="H7" s="41" t="e">
        <f t="shared" si="0"/>
        <v>#REF!</v>
      </c>
      <c r="I7" s="42" t="e">
        <f t="shared" si="3"/>
        <v>#REF!</v>
      </c>
      <c r="J7" s="41" t="e">
        <f t="shared" si="1"/>
        <v>#REF!</v>
      </c>
      <c r="K7" s="42" t="e">
        <f t="shared" si="4"/>
        <v>#REF!</v>
      </c>
    </row>
    <row r="8" spans="1:11" ht="14.25" x14ac:dyDescent="0.45">
      <c r="A8" s="25" t="s">
        <v>54</v>
      </c>
      <c r="B8" s="26"/>
      <c r="D8" s="149" t="s">
        <v>41</v>
      </c>
      <c r="E8" s="150"/>
      <c r="G8" s="14">
        <f t="shared" si="2"/>
        <v>2019</v>
      </c>
      <c r="H8" s="41" t="e">
        <f t="shared" si="0"/>
        <v>#REF!</v>
      </c>
      <c r="I8" s="40" t="e">
        <f t="shared" si="3"/>
        <v>#REF!</v>
      </c>
      <c r="J8" s="41" t="e">
        <f t="shared" si="1"/>
        <v>#REF!</v>
      </c>
      <c r="K8" s="40" t="e">
        <f t="shared" si="4"/>
        <v>#REF!</v>
      </c>
    </row>
    <row r="9" spans="1:11" ht="14.25" x14ac:dyDescent="0.45">
      <c r="D9" s="7" t="s">
        <v>44</v>
      </c>
      <c r="E9" s="11"/>
      <c r="G9" s="15">
        <f t="shared" si="2"/>
        <v>2020</v>
      </c>
      <c r="H9" s="41" t="e">
        <f t="shared" si="0"/>
        <v>#REF!</v>
      </c>
      <c r="I9" s="42" t="e">
        <f t="shared" si="3"/>
        <v>#REF!</v>
      </c>
      <c r="J9" s="41" t="e">
        <f t="shared" si="1"/>
        <v>#REF!</v>
      </c>
      <c r="K9" s="42" t="e">
        <f t="shared" si="4"/>
        <v>#REF!</v>
      </c>
    </row>
    <row r="10" spans="1:11" ht="14.25" x14ac:dyDescent="0.45">
      <c r="A10" s="13" t="s">
        <v>29</v>
      </c>
      <c r="D10" s="7" t="s">
        <v>45</v>
      </c>
      <c r="E10" s="11"/>
      <c r="G10" s="14">
        <f t="shared" si="2"/>
        <v>2021</v>
      </c>
      <c r="H10" s="41" t="e">
        <f t="shared" si="0"/>
        <v>#REF!</v>
      </c>
      <c r="I10" s="40" t="e">
        <f t="shared" si="3"/>
        <v>#REF!</v>
      </c>
      <c r="J10" s="41" t="e">
        <f t="shared" si="1"/>
        <v>#REF!</v>
      </c>
      <c r="K10" s="40" t="e">
        <f t="shared" si="4"/>
        <v>#REF!</v>
      </c>
    </row>
    <row r="11" spans="1:11" ht="14.25" x14ac:dyDescent="0.45">
      <c r="A11" s="12" t="s">
        <v>60</v>
      </c>
      <c r="B11" s="43" t="e">
        <f>(NPV($B$17,K4:K24)+NPV($B$17,I4:I24))/(1+$B$17)^2</f>
        <v>#REF!</v>
      </c>
      <c r="G11" s="15">
        <f t="shared" si="2"/>
        <v>2022</v>
      </c>
      <c r="H11" s="41" t="e">
        <f t="shared" si="0"/>
        <v>#REF!</v>
      </c>
      <c r="I11" s="42" t="e">
        <f t="shared" si="3"/>
        <v>#REF!</v>
      </c>
      <c r="J11" s="41" t="e">
        <f t="shared" si="1"/>
        <v>#REF!</v>
      </c>
      <c r="K11" s="42" t="e">
        <f t="shared" si="4"/>
        <v>#REF!</v>
      </c>
    </row>
    <row r="12" spans="1:11" ht="14.25" x14ac:dyDescent="0.45">
      <c r="A12" s="12" t="s">
        <v>28</v>
      </c>
      <c r="B12" s="44" t="e">
        <f>B11/B7</f>
        <v>#REF!</v>
      </c>
      <c r="G12" s="14">
        <f t="shared" si="2"/>
        <v>2023</v>
      </c>
      <c r="H12" s="41" t="e">
        <f t="shared" si="0"/>
        <v>#REF!</v>
      </c>
      <c r="I12" s="40" t="e">
        <f t="shared" si="3"/>
        <v>#REF!</v>
      </c>
      <c r="J12" s="41" t="e">
        <f t="shared" si="1"/>
        <v>#REF!</v>
      </c>
      <c r="K12" s="40" t="e">
        <f t="shared" si="4"/>
        <v>#REF!</v>
      </c>
    </row>
    <row r="13" spans="1:11" ht="14.25" x14ac:dyDescent="0.45">
      <c r="A13" s="12" t="s">
        <v>61</v>
      </c>
      <c r="B13" s="43" t="e">
        <f>B7*(B17/(1-(1+B17)^(-E5))/(SUM(H4:H29)+SUM(J4:J29)))</f>
        <v>#REF!</v>
      </c>
      <c r="G13" s="15">
        <f t="shared" si="2"/>
        <v>2024</v>
      </c>
      <c r="H13" s="41" t="e">
        <f t="shared" si="0"/>
        <v>#REF!</v>
      </c>
      <c r="I13" s="42" t="e">
        <f t="shared" si="3"/>
        <v>#REF!</v>
      </c>
      <c r="J13" s="41" t="e">
        <f t="shared" si="1"/>
        <v>#REF!</v>
      </c>
      <c r="K13" s="42" t="e">
        <f t="shared" si="4"/>
        <v>#REF!</v>
      </c>
    </row>
    <row r="14" spans="1:11" ht="14.25" x14ac:dyDescent="0.45">
      <c r="G14" s="14">
        <f>G13+1</f>
        <v>2025</v>
      </c>
      <c r="H14" s="41">
        <f t="shared" si="0"/>
        <v>0</v>
      </c>
      <c r="I14" s="40" t="e">
        <f t="shared" si="3"/>
        <v>#REF!</v>
      </c>
      <c r="J14" s="41">
        <f t="shared" si="1"/>
        <v>0</v>
      </c>
      <c r="K14" s="40" t="e">
        <f t="shared" si="4"/>
        <v>#REF!</v>
      </c>
    </row>
    <row r="15" spans="1:11" ht="14.25" x14ac:dyDescent="0.45">
      <c r="A15" s="17" t="s">
        <v>11</v>
      </c>
      <c r="G15" s="15">
        <f t="shared" si="2"/>
        <v>2026</v>
      </c>
      <c r="H15" s="41">
        <f t="shared" si="0"/>
        <v>0</v>
      </c>
      <c r="I15" s="42" t="e">
        <f t="shared" si="3"/>
        <v>#REF!</v>
      </c>
      <c r="J15" s="41">
        <f t="shared" si="1"/>
        <v>0</v>
      </c>
      <c r="K15" s="42" t="e">
        <f t="shared" si="4"/>
        <v>#REF!</v>
      </c>
    </row>
    <row r="16" spans="1:11" ht="14.25" x14ac:dyDescent="0.45">
      <c r="A16" s="18" t="s">
        <v>12</v>
      </c>
      <c r="B16" s="30">
        <v>2015</v>
      </c>
      <c r="D16" s="17" t="s">
        <v>26</v>
      </c>
      <c r="E16" s="27" t="s">
        <v>20</v>
      </c>
      <c r="G16" s="14">
        <f t="shared" si="2"/>
        <v>2027</v>
      </c>
      <c r="H16" s="41">
        <f t="shared" si="0"/>
        <v>0</v>
      </c>
      <c r="I16" s="40" t="e">
        <f t="shared" si="3"/>
        <v>#REF!</v>
      </c>
      <c r="J16" s="41">
        <f t="shared" si="1"/>
        <v>0</v>
      </c>
      <c r="K16" s="40" t="e">
        <f t="shared" si="4"/>
        <v>#REF!</v>
      </c>
    </row>
    <row r="17" spans="1:11" ht="14.25" x14ac:dyDescent="0.4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ht="14.25" x14ac:dyDescent="0.4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ht="14.25" x14ac:dyDescent="0.45">
      <c r="A19" s="18" t="s">
        <v>37</v>
      </c>
      <c r="B19" s="48" t="e">
        <f>IF($B$6=2,'Assumed Values'!#REF!,0)</f>
        <v>#REF!</v>
      </c>
      <c r="G19" s="15">
        <f t="shared" si="2"/>
        <v>2030</v>
      </c>
      <c r="H19" s="41">
        <f t="shared" si="0"/>
        <v>0</v>
      </c>
      <c r="I19" s="42" t="e">
        <f t="shared" si="3"/>
        <v>#REF!</v>
      </c>
      <c r="J19" s="41">
        <f t="shared" si="1"/>
        <v>0</v>
      </c>
      <c r="K19" s="42" t="e">
        <f t="shared" si="4"/>
        <v>#REF!</v>
      </c>
    </row>
    <row r="20" spans="1:11" ht="14.25" x14ac:dyDescent="0.45">
      <c r="A20" s="18" t="s">
        <v>62</v>
      </c>
      <c r="B20" s="39" t="e">
        <f>'Assumed Values'!#REF!</f>
        <v>#REF!</v>
      </c>
      <c r="G20" s="14">
        <f t="shared" si="2"/>
        <v>2031</v>
      </c>
      <c r="H20" s="41">
        <f t="shared" si="0"/>
        <v>0</v>
      </c>
      <c r="I20" s="40" t="e">
        <f t="shared" si="3"/>
        <v>#REF!</v>
      </c>
      <c r="J20" s="41">
        <f t="shared" si="1"/>
        <v>0</v>
      </c>
      <c r="K20" s="40" t="e">
        <f t="shared" si="4"/>
        <v>#REF!</v>
      </c>
    </row>
    <row r="21" spans="1:11" ht="14.25" x14ac:dyDescent="0.45">
      <c r="A21" s="18" t="s">
        <v>63</v>
      </c>
      <c r="B21" s="39" t="e">
        <f>'Assumed Values'!#REF!</f>
        <v>#REF!</v>
      </c>
      <c r="G21" s="15">
        <f t="shared" si="2"/>
        <v>2032</v>
      </c>
      <c r="H21" s="41">
        <f t="shared" si="0"/>
        <v>0</v>
      </c>
      <c r="I21" s="42" t="e">
        <f t="shared" si="3"/>
        <v>#REF!</v>
      </c>
      <c r="J21" s="41">
        <f t="shared" si="1"/>
        <v>0</v>
      </c>
      <c r="K21" s="42" t="e">
        <f t="shared" si="4"/>
        <v>#REF!</v>
      </c>
    </row>
    <row r="22" spans="1:11" ht="14.25" x14ac:dyDescent="0.45">
      <c r="A22" s="18" t="s">
        <v>27</v>
      </c>
      <c r="B22" s="18">
        <v>260</v>
      </c>
      <c r="G22" s="14">
        <f t="shared" si="2"/>
        <v>2033</v>
      </c>
      <c r="H22" s="41">
        <f t="shared" si="0"/>
        <v>0</v>
      </c>
      <c r="I22" s="40" t="e">
        <f t="shared" si="3"/>
        <v>#REF!</v>
      </c>
      <c r="J22" s="41">
        <f t="shared" si="1"/>
        <v>0</v>
      </c>
      <c r="K22" s="40" t="e">
        <f t="shared" si="4"/>
        <v>#REF!</v>
      </c>
    </row>
    <row r="23" spans="1:11" ht="14.25" x14ac:dyDescent="0.45">
      <c r="G23" s="15">
        <f t="shared" si="2"/>
        <v>2034</v>
      </c>
      <c r="H23" s="41">
        <f t="shared" si="0"/>
        <v>0</v>
      </c>
      <c r="I23" s="42" t="e">
        <f t="shared" si="3"/>
        <v>#REF!</v>
      </c>
      <c r="J23" s="41">
        <f t="shared" si="1"/>
        <v>0</v>
      </c>
      <c r="K23" s="42" t="e">
        <f t="shared" si="4"/>
        <v>#REF!</v>
      </c>
    </row>
    <row r="24" spans="1:11" ht="14.25" x14ac:dyDescent="0.45">
      <c r="G24" s="14">
        <f t="shared" si="2"/>
        <v>2035</v>
      </c>
      <c r="H24" s="41">
        <f t="shared" si="0"/>
        <v>0</v>
      </c>
      <c r="I24" s="40" t="e">
        <f t="shared" si="3"/>
        <v>#REF!</v>
      </c>
      <c r="J24" s="41">
        <f t="shared" si="1"/>
        <v>0</v>
      </c>
      <c r="K24" s="40" t="e">
        <f t="shared" si="4"/>
        <v>#REF!</v>
      </c>
    </row>
    <row r="25" spans="1:11" ht="14.25" x14ac:dyDescent="0.4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ht="14.25" x14ac:dyDescent="0.45">
      <c r="G26" s="14">
        <f t="shared" si="2"/>
        <v>2037</v>
      </c>
      <c r="H26" s="41">
        <f t="shared" si="5"/>
        <v>0</v>
      </c>
      <c r="I26" s="40" t="e">
        <f t="shared" si="6"/>
        <v>#REF!</v>
      </c>
      <c r="J26" s="41">
        <f t="shared" si="7"/>
        <v>0</v>
      </c>
      <c r="K26" s="40" t="e">
        <f t="shared" si="8"/>
        <v>#REF!</v>
      </c>
    </row>
    <row r="27" spans="1:11" ht="14.25" x14ac:dyDescent="0.45">
      <c r="G27" s="15">
        <f t="shared" si="2"/>
        <v>2038</v>
      </c>
      <c r="H27" s="41">
        <f t="shared" si="5"/>
        <v>0</v>
      </c>
      <c r="I27" s="42" t="e">
        <f t="shared" si="6"/>
        <v>#REF!</v>
      </c>
      <c r="J27" s="41">
        <f t="shared" si="7"/>
        <v>0</v>
      </c>
      <c r="K27" s="42" t="e">
        <f t="shared" si="8"/>
        <v>#REF!</v>
      </c>
    </row>
    <row r="28" spans="1:11" ht="14.25" x14ac:dyDescent="0.45">
      <c r="G28" s="14">
        <f t="shared" si="2"/>
        <v>2039</v>
      </c>
      <c r="H28" s="41">
        <f t="shared" si="5"/>
        <v>0</v>
      </c>
      <c r="I28" s="40" t="e">
        <f t="shared" si="6"/>
        <v>#REF!</v>
      </c>
      <c r="J28" s="41">
        <f t="shared" si="7"/>
        <v>0</v>
      </c>
      <c r="K28" s="40" t="e">
        <f t="shared" si="8"/>
        <v>#REF!</v>
      </c>
    </row>
    <row r="29" spans="1:11" ht="14.25" x14ac:dyDescent="0.45">
      <c r="G29" s="15">
        <f t="shared" si="2"/>
        <v>2040</v>
      </c>
      <c r="H29" s="41">
        <f>IF($G29&lt;($G$4+$E$5),$E$17,0)</f>
        <v>0</v>
      </c>
      <c r="I29" s="42" t="e">
        <f t="shared" si="6"/>
        <v>#REF!</v>
      </c>
      <c r="J29" s="41">
        <f>IF($G29&lt;($G$4+$E$5),$E$18,0)</f>
        <v>0</v>
      </c>
      <c r="K29" s="42" t="e">
        <f t="shared" si="8"/>
        <v>#REF!</v>
      </c>
    </row>
    <row r="31" spans="1:11" ht="14.25" x14ac:dyDescent="0.4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opLeftCell="A25" zoomScaleNormal="100" workbookViewId="0">
      <selection activeCell="E43" sqref="E43"/>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 x14ac:dyDescent="0.55000000000000004">
      <c r="A3" s="116" t="s">
        <v>77</v>
      </c>
      <c r="B3" s="112"/>
      <c r="C3" s="112"/>
      <c r="D3" s="112"/>
      <c r="E3" s="112"/>
      <c r="F3" s="117"/>
    </row>
    <row r="4" spans="1:7" ht="14.25" x14ac:dyDescent="0.45">
      <c r="F4" s="118"/>
      <c r="G4" s="118"/>
    </row>
    <row r="5" spans="1:7" ht="14.25" x14ac:dyDescent="0.45">
      <c r="A5" s="119" t="s">
        <v>96</v>
      </c>
    </row>
    <row r="6" spans="1:7" ht="60" x14ac:dyDescent="0.25">
      <c r="A6" s="8" t="s">
        <v>97</v>
      </c>
      <c r="B6" s="137" t="s">
        <v>236</v>
      </c>
      <c r="D6" s="8"/>
      <c r="E6" s="103" t="s">
        <v>187</v>
      </c>
    </row>
    <row r="7" spans="1:7" ht="14.25" x14ac:dyDescent="0.45">
      <c r="A7" s="8" t="s">
        <v>98</v>
      </c>
      <c r="B7" s="138" t="s">
        <v>200</v>
      </c>
      <c r="D7" s="104"/>
      <c r="E7" s="103" t="s">
        <v>196</v>
      </c>
    </row>
    <row r="8" spans="1:7" ht="14.25" x14ac:dyDescent="0.45">
      <c r="A8" s="8" t="s">
        <v>99</v>
      </c>
      <c r="B8" s="138" t="s">
        <v>206</v>
      </c>
      <c r="D8" s="105"/>
      <c r="E8" s="103" t="s">
        <v>216</v>
      </c>
    </row>
    <row r="9" spans="1:7" ht="14.25" x14ac:dyDescent="0.45">
      <c r="A9" s="8" t="s">
        <v>100</v>
      </c>
      <c r="B9" s="138" t="s">
        <v>234</v>
      </c>
      <c r="D9" s="106"/>
      <c r="E9" s="103" t="s">
        <v>188</v>
      </c>
    </row>
    <row r="10" spans="1:7" ht="14.25" x14ac:dyDescent="0.45">
      <c r="A10" s="8" t="s">
        <v>101</v>
      </c>
      <c r="B10" s="138" t="s">
        <v>235</v>
      </c>
    </row>
    <row r="11" spans="1:7" ht="14.25" x14ac:dyDescent="0.45">
      <c r="A11" s="8" t="s">
        <v>102</v>
      </c>
      <c r="B11" s="138" t="s">
        <v>233</v>
      </c>
    </row>
    <row r="12" spans="1:7" ht="14.25" x14ac:dyDescent="0.45">
      <c r="A12" s="8" t="s">
        <v>103</v>
      </c>
      <c r="B12" s="138">
        <v>0.25</v>
      </c>
    </row>
    <row r="13" spans="1:7" ht="14.25" x14ac:dyDescent="0.45">
      <c r="A13" s="8" t="s">
        <v>68</v>
      </c>
      <c r="B13" s="138"/>
      <c r="F13" s="120"/>
    </row>
    <row r="14" spans="1:7" ht="14.25" x14ac:dyDescent="0.45">
      <c r="A14" s="8" t="s">
        <v>69</v>
      </c>
      <c r="B14" s="138"/>
    </row>
    <row r="17" spans="1:7" ht="14.25" x14ac:dyDescent="0.45">
      <c r="A17" s="119" t="s">
        <v>120</v>
      </c>
      <c r="E17" s="151" t="s">
        <v>231</v>
      </c>
      <c r="F17" s="152"/>
    </row>
    <row r="18" spans="1:7" ht="14.25" x14ac:dyDescent="0.45">
      <c r="A18" s="8" t="s">
        <v>79</v>
      </c>
      <c r="B18" s="139">
        <v>2022</v>
      </c>
      <c r="E18" s="105" t="s">
        <v>232</v>
      </c>
      <c r="F18" s="145">
        <f>$B$12/$B$32</f>
        <v>6.1728395061728392E-3</v>
      </c>
    </row>
    <row r="19" spans="1:7" ht="30" x14ac:dyDescent="0.25">
      <c r="A19" s="8" t="s">
        <v>121</v>
      </c>
      <c r="B19" s="140" t="s">
        <v>128</v>
      </c>
      <c r="E19" s="107" t="s">
        <v>212</v>
      </c>
      <c r="F19" s="146">
        <f>$B$12/$B$33</f>
        <v>1.3157894736842105E-2</v>
      </c>
    </row>
    <row r="20" spans="1:7" ht="28.5" x14ac:dyDescent="0.45">
      <c r="A20" s="135" t="s">
        <v>208</v>
      </c>
      <c r="B20" s="136">
        <f>VLOOKUP(B19,'Delay Reduction Factors'!B4:C80,2, FALSE)</f>
        <v>0.4</v>
      </c>
      <c r="E20" s="107" t="s">
        <v>209</v>
      </c>
      <c r="F20" s="145">
        <f>$F$19-$F$18</f>
        <v>6.9850552306692654E-3</v>
      </c>
    </row>
    <row r="21" spans="1:7" ht="14.25" x14ac:dyDescent="0.45">
      <c r="A21" s="8" t="s">
        <v>104</v>
      </c>
      <c r="B21" s="79">
        <v>20</v>
      </c>
      <c r="D21" s="121"/>
      <c r="E21" s="105" t="s">
        <v>210</v>
      </c>
      <c r="F21" s="145">
        <f>$F$20*$B$20</f>
        <v>2.7940220922677062E-3</v>
      </c>
      <c r="G21" s="122"/>
    </row>
    <row r="22" spans="1:7" s="113" customFormat="1" ht="14.25" x14ac:dyDescent="0.45">
      <c r="D22" s="121"/>
      <c r="E22" s="105" t="s">
        <v>211</v>
      </c>
      <c r="F22" s="145">
        <f>$F$20-$F$21</f>
        <v>4.1910331384015596E-3</v>
      </c>
      <c r="G22" s="122"/>
    </row>
    <row r="23" spans="1:7" ht="14.25" x14ac:dyDescent="0.45">
      <c r="E23" s="105" t="s">
        <v>213</v>
      </c>
      <c r="F23" s="145">
        <f>$F$18+$F$22</f>
        <v>1.0363872644574399E-2</v>
      </c>
    </row>
    <row r="24" spans="1:7" ht="14.25" x14ac:dyDescent="0.45">
      <c r="A24" s="119" t="s">
        <v>94</v>
      </c>
      <c r="B24" s="123"/>
      <c r="D24" s="121"/>
      <c r="G24" s="124"/>
    </row>
    <row r="25" spans="1:7" ht="14.25" x14ac:dyDescent="0.45">
      <c r="A25" s="8" t="s">
        <v>218</v>
      </c>
      <c r="B25" s="141">
        <v>54130</v>
      </c>
      <c r="D25" s="121"/>
      <c r="G25" s="124"/>
    </row>
    <row r="28" spans="1:7" ht="14.25" x14ac:dyDescent="0.45">
      <c r="A28" s="105" t="s">
        <v>227</v>
      </c>
      <c r="B28" s="134">
        <f>IF(FacilityType='Delay Reduction Factors'!N5,'Inputs &amp; Outputs'!B25*45%, B25*43%)</f>
        <v>23275.9</v>
      </c>
      <c r="D28" s="121"/>
      <c r="E28" s="125" t="s">
        <v>95</v>
      </c>
      <c r="F28" s="126" t="s">
        <v>20</v>
      </c>
      <c r="G28" s="127" t="s">
        <v>19</v>
      </c>
    </row>
    <row r="29" spans="1:7" ht="14.25" x14ac:dyDescent="0.45">
      <c r="A29" s="105" t="s">
        <v>228</v>
      </c>
      <c r="B29" s="115">
        <f>VLOOKUP(Year_Open_to_Traffic?,Calculations!H4:I36,2)</f>
        <v>36349.92272614425</v>
      </c>
      <c r="D29" s="121"/>
      <c r="E29" s="107" t="s">
        <v>122</v>
      </c>
      <c r="F29" s="101">
        <f>$B$29*$F$23</f>
        <v>376.72596977387963</v>
      </c>
      <c r="G29" s="102">
        <f>$B$29*$F$19</f>
        <v>478.28845692295062</v>
      </c>
    </row>
    <row r="30" spans="1:7" ht="14.25" x14ac:dyDescent="0.45">
      <c r="A30" s="124"/>
      <c r="B30" s="100"/>
      <c r="D30" s="121"/>
    </row>
    <row r="32" spans="1:7" ht="14.25" x14ac:dyDescent="0.45">
      <c r="A32" s="128" t="s">
        <v>221</v>
      </c>
      <c r="B32" s="142">
        <v>40.5</v>
      </c>
      <c r="D32" s="121"/>
    </row>
    <row r="33" spans="1:7" ht="30" x14ac:dyDescent="0.25">
      <c r="A33" s="129" t="s">
        <v>222</v>
      </c>
      <c r="B33" s="143">
        <v>19</v>
      </c>
      <c r="D33" s="121"/>
      <c r="E33" s="121"/>
      <c r="F33" s="130"/>
      <c r="G33" s="117"/>
    </row>
    <row r="34" spans="1:7" x14ac:dyDescent="0.25">
      <c r="A34" s="131"/>
      <c r="B34" s="144"/>
      <c r="E34" s="117"/>
      <c r="F34" s="130"/>
      <c r="G34" s="130"/>
    </row>
    <row r="35" spans="1:7" x14ac:dyDescent="0.25">
      <c r="A35" s="105" t="s">
        <v>223</v>
      </c>
      <c r="B35" s="148">
        <f>$B$28</f>
        <v>23275.9</v>
      </c>
    </row>
    <row r="36" spans="1:7" x14ac:dyDescent="0.25">
      <c r="A36" s="128" t="s">
        <v>224</v>
      </c>
      <c r="B36" s="142">
        <v>45724</v>
      </c>
    </row>
    <row r="37" spans="1:7" x14ac:dyDescent="0.25">
      <c r="A37" s="128" t="s">
        <v>229</v>
      </c>
      <c r="B37" s="142">
        <v>50781</v>
      </c>
    </row>
    <row r="38" spans="1:7" x14ac:dyDescent="0.25">
      <c r="A38" s="128" t="s">
        <v>225</v>
      </c>
      <c r="B38" s="142">
        <v>68824</v>
      </c>
    </row>
    <row r="39" spans="1:7" x14ac:dyDescent="0.25">
      <c r="A39" s="128" t="s">
        <v>230</v>
      </c>
      <c r="B39" s="142">
        <v>63543</v>
      </c>
    </row>
    <row r="40" spans="1:7" x14ac:dyDescent="0.25">
      <c r="A40" s="128" t="s">
        <v>226</v>
      </c>
      <c r="B40" s="142">
        <v>68824</v>
      </c>
      <c r="G40" s="132"/>
    </row>
    <row r="41" spans="1:7" x14ac:dyDescent="0.25">
      <c r="C41" s="117"/>
    </row>
    <row r="42" spans="1:7" ht="18.75" x14ac:dyDescent="0.3">
      <c r="A42" s="116" t="s">
        <v>78</v>
      </c>
      <c r="B42" s="112"/>
      <c r="C42" s="117"/>
    </row>
    <row r="43" spans="1:7" x14ac:dyDescent="0.25">
      <c r="C43" s="118"/>
      <c r="D43" s="118"/>
      <c r="E43" s="118"/>
      <c r="F43" s="118"/>
      <c r="G43" s="118"/>
    </row>
    <row r="44" spans="1:7" ht="14.25" hidden="1" x14ac:dyDescent="0.45">
      <c r="A44" s="133" t="s">
        <v>76</v>
      </c>
    </row>
    <row r="45" spans="1:7" x14ac:dyDescent="0.25">
      <c r="A45" s="133" t="s">
        <v>76</v>
      </c>
    </row>
    <row r="46" spans="1:7" x14ac:dyDescent="0.25">
      <c r="A46" s="106" t="s">
        <v>88</v>
      </c>
      <c r="B46" s="114">
        <f>Calculations!$T$37</f>
        <v>10481.08088440221</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2"/>
  <sheetViews>
    <sheetView tabSelected="1" zoomScale="85" zoomScaleNormal="85" workbookViewId="0">
      <selection activeCell="B7" sqref="B7"/>
    </sheetView>
  </sheetViews>
  <sheetFormatPr defaultRowHeight="15" x14ac:dyDescent="0.25"/>
  <cols>
    <col min="2" max="2" width="184" customWidth="1"/>
  </cols>
  <sheetData>
    <row r="1" spans="1:45" ht="39.950000000000003" customHeight="1" x14ac:dyDescent="0.25">
      <c r="A1" s="157"/>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row>
    <row r="2" spans="1:45" ht="36" customHeight="1" x14ac:dyDescent="0.25">
      <c r="A2" s="157"/>
      <c r="B2" s="160" t="s">
        <v>237</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row>
    <row r="3" spans="1:45" ht="39.950000000000003" customHeight="1" x14ac:dyDescent="0.25">
      <c r="A3" s="157"/>
      <c r="B3" s="161" t="s">
        <v>239</v>
      </c>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row>
    <row r="4" spans="1:45" ht="39.950000000000003" customHeight="1" x14ac:dyDescent="0.25">
      <c r="A4" s="157"/>
      <c r="B4" s="161" t="s">
        <v>240</v>
      </c>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row>
    <row r="5" spans="1:45" ht="39.950000000000003" customHeight="1" x14ac:dyDescent="0.25">
      <c r="A5" s="157"/>
      <c r="B5" s="161" t="s">
        <v>241</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row>
    <row r="6" spans="1:45" ht="39.950000000000003" customHeight="1" x14ac:dyDescent="0.25">
      <c r="A6" s="157"/>
      <c r="B6" s="161" t="s">
        <v>242</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row>
    <row r="7" spans="1:45" ht="55.5" customHeight="1" x14ac:dyDescent="0.25">
      <c r="A7" s="157"/>
      <c r="B7" s="161" t="s">
        <v>243</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row>
    <row r="8" spans="1:45" ht="39.950000000000003" customHeight="1" x14ac:dyDescent="0.25">
      <c r="A8" s="157"/>
      <c r="B8" s="161" t="s">
        <v>238</v>
      </c>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row>
    <row r="9" spans="1:45" ht="39.950000000000003" customHeight="1" x14ac:dyDescent="0.25">
      <c r="A9" s="157"/>
      <c r="B9" s="161" t="s">
        <v>244</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row>
    <row r="10" spans="1:45" ht="39.950000000000003" customHeight="1" x14ac:dyDescent="0.25">
      <c r="A10" s="157"/>
      <c r="B10" s="161" t="s">
        <v>245</v>
      </c>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row>
    <row r="11" spans="1:45" ht="39.950000000000003" customHeight="1" x14ac:dyDescent="0.25">
      <c r="A11" s="157"/>
      <c r="B11" s="159"/>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row>
    <row r="12" spans="1:45" ht="39.950000000000003" customHeight="1" x14ac:dyDescent="0.25">
      <c r="A12" s="157"/>
      <c r="B12" s="158"/>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row>
    <row r="13" spans="1:45" ht="39.950000000000003" customHeight="1" x14ac:dyDescent="0.25">
      <c r="A13" s="157"/>
      <c r="B13" s="158"/>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row>
    <row r="14" spans="1:45" ht="39.950000000000003" customHeight="1" x14ac:dyDescent="0.25">
      <c r="A14" s="157"/>
      <c r="B14" s="158"/>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row>
    <row r="15" spans="1:45" ht="39.950000000000003" customHeight="1" x14ac:dyDescent="0.25">
      <c r="A15" s="157"/>
      <c r="B15" s="158"/>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row>
    <row r="16" spans="1:45" ht="39.950000000000003" customHeight="1" x14ac:dyDescent="0.25">
      <c r="A16" s="157"/>
      <c r="B16" s="158"/>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row>
    <row r="17" spans="1:45" ht="39.950000000000003" customHeight="1" x14ac:dyDescent="0.25">
      <c r="A17" s="157"/>
      <c r="B17" s="158"/>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row>
    <row r="18" spans="1:45" ht="39.950000000000003" customHeight="1" x14ac:dyDescent="0.25">
      <c r="A18" s="157"/>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row>
    <row r="19" spans="1:45" ht="39.950000000000003" customHeight="1" x14ac:dyDescent="0.25">
      <c r="A19" s="157"/>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row>
    <row r="20" spans="1:45" ht="39.950000000000003" customHeight="1" x14ac:dyDescent="0.25">
      <c r="A20" s="157"/>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row>
    <row r="21" spans="1:45" ht="39.950000000000003" customHeight="1" x14ac:dyDescent="0.25">
      <c r="A21" s="157"/>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row>
    <row r="22" spans="1:45" ht="39.950000000000003" customHeight="1" x14ac:dyDescent="0.25">
      <c r="A22" s="157"/>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row>
    <row r="23" spans="1:45" ht="39.950000000000003" customHeight="1" x14ac:dyDescent="0.25">
      <c r="A23" s="157"/>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row>
    <row r="24" spans="1:45" ht="39.950000000000003" customHeight="1" x14ac:dyDescent="0.25">
      <c r="A24" s="157"/>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row>
    <row r="25" spans="1:45" x14ac:dyDescent="0.25">
      <c r="A25" s="157"/>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row>
    <row r="26" spans="1:45" x14ac:dyDescent="0.25">
      <c r="A26" s="157"/>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row>
    <row r="27" spans="1:45" x14ac:dyDescent="0.25">
      <c r="A27" s="157"/>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row>
    <row r="28" spans="1:45" x14ac:dyDescent="0.25">
      <c r="A28" s="157"/>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row>
    <row r="29" spans="1:45" x14ac:dyDescent="0.25">
      <c r="A29" s="157"/>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row>
    <row r="30" spans="1:45" x14ac:dyDescent="0.25">
      <c r="A30" s="157"/>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row>
    <row r="31" spans="1:45" x14ac:dyDescent="0.25">
      <c r="A31" s="157"/>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row>
    <row r="32" spans="1:45" x14ac:dyDescent="0.25">
      <c r="A32" s="157"/>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E1"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2.75" x14ac:dyDescent="0.4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ht="14.25" x14ac:dyDescent="0.45">
      <c r="A4" s="18" t="s">
        <v>12</v>
      </c>
      <c r="B4" s="30">
        <v>2018</v>
      </c>
      <c r="D4" s="18" t="s">
        <v>118</v>
      </c>
      <c r="E4" s="95">
        <f>'Inputs &amp; Outputs'!F29*Annual_Days_of_Travel</f>
        <v>97948.752141208708</v>
      </c>
      <c r="F4" s="22">
        <f>'Inputs &amp; Outputs'!G29*Annual_Days_of_Travel</f>
        <v>124354.99879996716</v>
      </c>
      <c r="H4" s="59">
        <v>2018</v>
      </c>
      <c r="I4" s="60">
        <f>'Inputs &amp; Outputs'!B28</f>
        <v>23275.9</v>
      </c>
      <c r="J4" s="60">
        <f>IF(H4=Year_Open_to_Traffic?,$F$4,0)</f>
        <v>0</v>
      </c>
      <c r="K4" s="60">
        <f>IF(H4=Year_Open_to_Traffic?,Calculations!$E$4,0)</f>
        <v>0</v>
      </c>
      <c r="L4" s="60">
        <f>IF(AND(H4&gt;=Year_Open_to_Traffic?, Calculations!H4&lt;Year_Open_to_Traffic?+'Inputs &amp; Outputs'!B$21), 1, 0)</f>
        <v>0</v>
      </c>
      <c r="M4" s="81" t="s">
        <v>75</v>
      </c>
      <c r="N4" s="82">
        <f>MIN(E8,1)</f>
        <v>0.5090521389204794</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ht="14.25" x14ac:dyDescent="0.45">
      <c r="A5" s="18" t="s">
        <v>14</v>
      </c>
      <c r="B5" s="18">
        <v>1.39</v>
      </c>
      <c r="D5" s="18" t="s">
        <v>67</v>
      </c>
      <c r="E5" s="46">
        <f>(_2025_PeakVolume/_2018_PeakVolume)^(1/(2025-2018))-1</f>
        <v>0.11789046615853738</v>
      </c>
      <c r="F5" s="28"/>
      <c r="H5" s="15">
        <f t="shared" ref="H5:H36" si="3">H4+1</f>
        <v>2019</v>
      </c>
      <c r="I5" s="97">
        <f>(I4*M5)+I4</f>
        <v>26019.906701259501</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0.11789046615853738</v>
      </c>
      <c r="N5" s="87">
        <f t="shared" ref="N5:N11" si="6">N4*(1+IFERROR(_2018_2025_V_C_Growth,_2018_2045_V_C_Growth))</f>
        <v>0.53677305323459634</v>
      </c>
      <c r="O5" s="88">
        <f t="shared" ref="O5:O36" si="7">-(ROUNDUP(N5,0)-2)</f>
        <v>1</v>
      </c>
      <c r="P5" s="84">
        <f t="shared" ref="P5:P36" si="8">(J5-K5)*L5</f>
        <v>0</v>
      </c>
      <c r="Q5" s="85">
        <f t="shared" si="0"/>
        <v>0</v>
      </c>
      <c r="R5" s="86">
        <f t="shared" si="1"/>
        <v>18.136347569999995</v>
      </c>
      <c r="S5" s="94">
        <f t="shared" si="2"/>
        <v>0</v>
      </c>
      <c r="T5" s="80">
        <f t="shared" ref="T5:T36" si="9">S5/1.07^(H5-H$4)</f>
        <v>0</v>
      </c>
    </row>
    <row r="6" spans="1:24" ht="14.25" x14ac:dyDescent="0.45">
      <c r="A6" s="18" t="s">
        <v>89</v>
      </c>
      <c r="B6" s="20">
        <f>'Assumed Values'!C9</f>
        <v>17.728589999999997</v>
      </c>
      <c r="D6" s="18" t="s">
        <v>80</v>
      </c>
      <c r="E6" s="46">
        <f>(_2045_PeakVolume/_2025_PeakVolume)^(1/(2045-2025))-1</f>
        <v>1.12727930933334E-2</v>
      </c>
      <c r="F6" s="28"/>
      <c r="H6" s="59">
        <f t="shared" si="3"/>
        <v>2020</v>
      </c>
      <c r="I6" s="97">
        <f t="shared" ref="I6:I36" si="10">(I5*M6)+I5</f>
        <v>29087.405631672635</v>
      </c>
      <c r="J6" s="60">
        <f t="shared" si="4"/>
        <v>0</v>
      </c>
      <c r="K6" s="60">
        <f>IF(H6=Year_Open_to_Traffic?,Calculations!$E$4,K5+(K5*M6))</f>
        <v>0</v>
      </c>
      <c r="L6" s="60">
        <f>IF(AND(H6&gt;=Year_Open_to_Traffic?, Calculations!H6&lt;Year_Open_to_Traffic?+'Inputs &amp; Outputs'!B$21), 1, 0)</f>
        <v>0</v>
      </c>
      <c r="M6" s="81">
        <f t="shared" si="5"/>
        <v>0.11789046615853738</v>
      </c>
      <c r="N6" s="87">
        <f t="shared" si="6"/>
        <v>0.56600353608139875</v>
      </c>
      <c r="O6" s="88">
        <f t="shared" si="7"/>
        <v>1</v>
      </c>
      <c r="P6" s="84">
        <f>(J6-K6)*L6</f>
        <v>0</v>
      </c>
      <c r="Q6" s="85">
        <f t="shared" si="0"/>
        <v>0</v>
      </c>
      <c r="R6" s="86">
        <f t="shared" si="1"/>
        <v>18.553483564109992</v>
      </c>
      <c r="S6" s="94">
        <f t="shared" si="2"/>
        <v>0</v>
      </c>
      <c r="T6" s="80">
        <f t="shared" si="9"/>
        <v>0</v>
      </c>
    </row>
    <row r="7" spans="1:24" ht="14.25" x14ac:dyDescent="0.45">
      <c r="A7" s="18" t="s">
        <v>74</v>
      </c>
      <c r="B7" s="58">
        <f>'Assumed Values'!C10</f>
        <v>2.3E-2</v>
      </c>
      <c r="D7" s="18" t="s">
        <v>81</v>
      </c>
      <c r="E7" s="46">
        <f>(_2045_PeakVolume/_2018_PeakVolume)^(1/(2045-2018))-1</f>
        <v>3.7896672761626782E-2</v>
      </c>
      <c r="F7" s="28"/>
      <c r="H7" s="15">
        <f t="shared" si="3"/>
        <v>2021</v>
      </c>
      <c r="I7" s="97">
        <f t="shared" si="10"/>
        <v>32516.533440932988</v>
      </c>
      <c r="J7" s="60">
        <f t="shared" si="4"/>
        <v>0</v>
      </c>
      <c r="K7" s="60">
        <f>IF(H7=Year_Open_to_Traffic?,Calculations!$E$4,K6+(K6*M7))</f>
        <v>0</v>
      </c>
      <c r="L7" s="60">
        <f>IF(AND(H7&gt;=Year_Open_to_Traffic?, Calculations!H7&lt;Year_Open_to_Traffic?+'Inputs &amp; Outputs'!B$21), 1, 0)</f>
        <v>0</v>
      </c>
      <c r="M7" s="81">
        <f t="shared" si="5"/>
        <v>0.11789046615853738</v>
      </c>
      <c r="N7" s="87">
        <f t="shared" si="6"/>
        <v>0.59682579243901446</v>
      </c>
      <c r="O7" s="88">
        <f t="shared" si="7"/>
        <v>1</v>
      </c>
      <c r="P7" s="84">
        <f t="shared" si="8"/>
        <v>0</v>
      </c>
      <c r="Q7" s="85">
        <f t="shared" si="0"/>
        <v>0</v>
      </c>
      <c r="R7" s="86">
        <f t="shared" si="1"/>
        <v>18.980213686084522</v>
      </c>
      <c r="S7" s="94">
        <f t="shared" si="2"/>
        <v>0</v>
      </c>
      <c r="T7" s="80">
        <f t="shared" si="9"/>
        <v>0</v>
      </c>
    </row>
    <row r="8" spans="1:24" ht="14.25" x14ac:dyDescent="0.45">
      <c r="A8" s="18" t="s">
        <v>27</v>
      </c>
      <c r="B8" s="18">
        <v>260</v>
      </c>
      <c r="D8" s="18" t="s">
        <v>66</v>
      </c>
      <c r="E8" s="23">
        <f>_2018_PeakVolume/_2018_Capacity</f>
        <v>0.5090521389204794</v>
      </c>
      <c r="F8" s="28"/>
      <c r="H8" s="59">
        <f t="shared" si="3"/>
        <v>2022</v>
      </c>
      <c r="I8" s="97">
        <f t="shared" si="10"/>
        <v>36349.92272614425</v>
      </c>
      <c r="J8" s="60">
        <f t="shared" si="4"/>
        <v>124354.99879996716</v>
      </c>
      <c r="K8" s="60">
        <f>IF(H8=Year_Open_to_Traffic?,Calculations!$E$4,K7+(K7*M8))</f>
        <v>97948.752141208708</v>
      </c>
      <c r="L8" s="60">
        <f>IF(AND(H8&gt;=Year_Open_to_Traffic?, Calculations!H8&lt;Year_Open_to_Traffic?+'Inputs &amp; Outputs'!B$21), 1, 0)</f>
        <v>1</v>
      </c>
      <c r="M8" s="81">
        <f t="shared" si="5"/>
        <v>0.11789046615853738</v>
      </c>
      <c r="N8" s="87">
        <f t="shared" si="6"/>
        <v>0.62932650383518307</v>
      </c>
      <c r="O8" s="88">
        <f t="shared" si="7"/>
        <v>1</v>
      </c>
      <c r="P8" s="84">
        <f>(J8-K8)*L8</f>
        <v>26406.246658758449</v>
      </c>
      <c r="Q8" s="85">
        <f>IF(AND(H8&gt;=Year_Open_to_Traffic?,H8&lt;Year_Open_to_Traffic?+Years_to_include_in_BCA_Analysis),1,0)</f>
        <v>1</v>
      </c>
      <c r="R8" s="86">
        <f t="shared" si="1"/>
        <v>19.416758600864465</v>
      </c>
      <c r="S8" s="94">
        <f t="shared" si="2"/>
        <v>712.68596652991539</v>
      </c>
      <c r="T8" s="80">
        <f t="shared" si="9"/>
        <v>543.70471155913526</v>
      </c>
      <c r="W8" s="73"/>
      <c r="X8" s="73"/>
    </row>
    <row r="9" spans="1:24" ht="14.25" x14ac:dyDescent="0.45">
      <c r="A9" s="18" t="s">
        <v>64</v>
      </c>
      <c r="B9" s="18">
        <f>'Inputs &amp; Outputs'!B21</f>
        <v>20</v>
      </c>
      <c r="D9" s="18" t="s">
        <v>65</v>
      </c>
      <c r="E9" s="23">
        <f>_2025_PeakVolume/_2025_Capacity</f>
        <v>0.73783854469371146</v>
      </c>
      <c r="F9" s="28"/>
      <c r="H9" s="15">
        <f t="shared" si="3"/>
        <v>2023</v>
      </c>
      <c r="I9" s="97">
        <f t="shared" si="10"/>
        <v>40635.23206115621</v>
      </c>
      <c r="J9" s="60">
        <f t="shared" si="4"/>
        <v>139015.26757763964</v>
      </c>
      <c r="K9" s="60">
        <f>IF(H9=Year_Open_to_Traffic?,Calculations!$E$4,K8+(K8*M9))</f>
        <v>109495.97619078284</v>
      </c>
      <c r="L9" s="60">
        <f>IF(AND(H9&gt;=Year_Open_to_Traffic?, Calculations!H9&lt;Year_Open_to_Traffic?+'Inputs &amp; Outputs'!B$21), 1, 0)</f>
        <v>1</v>
      </c>
      <c r="M9" s="81">
        <f t="shared" si="5"/>
        <v>0.11789046615853738</v>
      </c>
      <c r="N9" s="87">
        <f t="shared" si="6"/>
        <v>0.66359707212198693</v>
      </c>
      <c r="O9" s="88">
        <f t="shared" si="7"/>
        <v>1</v>
      </c>
      <c r="P9" s="84">
        <f t="shared" si="8"/>
        <v>29519.291386856799</v>
      </c>
      <c r="Q9" s="85">
        <f t="shared" si="0"/>
        <v>1</v>
      </c>
      <c r="R9" s="86">
        <f t="shared" si="1"/>
        <v>19.863344048684343</v>
      </c>
      <c r="S9" s="94">
        <f t="shared" si="2"/>
        <v>815.02905883779636</v>
      </c>
      <c r="T9" s="80">
        <f t="shared" si="9"/>
        <v>581.10445482893033</v>
      </c>
      <c r="W9" s="73"/>
    </row>
    <row r="10" spans="1:24" ht="14.25" x14ac:dyDescent="0.45">
      <c r="D10" s="18" t="s">
        <v>82</v>
      </c>
      <c r="E10" s="23">
        <f>_2045_PeakVolume/_2045_Capacity</f>
        <v>0.92326804603045454</v>
      </c>
      <c r="F10" s="28"/>
      <c r="H10" s="59">
        <f t="shared" si="3"/>
        <v>2024</v>
      </c>
      <c r="I10" s="97">
        <f t="shared" si="10"/>
        <v>45425.738511306263</v>
      </c>
      <c r="J10" s="60">
        <f t="shared" si="4"/>
        <v>155403.84227552137</v>
      </c>
      <c r="K10" s="60">
        <f>IF(H10=Year_Open_to_Traffic?,Calculations!$E$4,K9+(K9*M10))</f>
        <v>122404.50786639833</v>
      </c>
      <c r="L10" s="60">
        <f>IF(AND(H10&gt;=Year_Open_to_Traffic?, Calculations!H10&lt;Year_Open_to_Traffic?+'Inputs &amp; Outputs'!B$21), 1, 0)</f>
        <v>1</v>
      </c>
      <c r="M10" s="81">
        <f t="shared" si="5"/>
        <v>0.11789046615853738</v>
      </c>
      <c r="N10" s="87">
        <f t="shared" si="6"/>
        <v>0.69973387652556507</v>
      </c>
      <c r="O10" s="88">
        <f t="shared" si="7"/>
        <v>1</v>
      </c>
      <c r="P10" s="84">
        <f>(J10-K10)*L10</f>
        <v>32999.334409123039</v>
      </c>
      <c r="Q10" s="85">
        <f t="shared" si="0"/>
        <v>1</v>
      </c>
      <c r="R10" s="86">
        <f t="shared" si="1"/>
        <v>20.320200961804083</v>
      </c>
      <c r="S10" s="94">
        <f t="shared" si="2"/>
        <v>932.06881845082762</v>
      </c>
      <c r="T10" s="80">
        <f t="shared" si="9"/>
        <v>621.0768092365538</v>
      </c>
      <c r="W10" s="73"/>
    </row>
    <row r="11" spans="1:24" ht="30" customHeight="1" x14ac:dyDescent="0.45">
      <c r="A11" s="153" t="s">
        <v>219</v>
      </c>
      <c r="B11" s="154"/>
      <c r="D11" s="18" t="s">
        <v>70</v>
      </c>
      <c r="E11" s="46">
        <f>(E9/E8)^(1/(2025-2018))-1</f>
        <v>5.4455943104184223E-2</v>
      </c>
      <c r="F11" s="28"/>
      <c r="H11" s="15">
        <f t="shared" si="3"/>
        <v>2025</v>
      </c>
      <c r="I11" s="97">
        <f t="shared" si="10"/>
        <v>50780.999999999985</v>
      </c>
      <c r="J11" s="60">
        <f t="shared" si="4"/>
        <v>173724.47368421039</v>
      </c>
      <c r="K11" s="60">
        <f>IF(H11=Year_Open_to_Traffic?,Calculations!$E$4,K10+(K10*M11))</f>
        <v>136834.83235867438</v>
      </c>
      <c r="L11" s="60">
        <f>IF(AND(H11&gt;=Year_Open_to_Traffic?, Calculations!H11&lt;Year_Open_to_Traffic?+'Inputs &amp; Outputs'!B$21), 1, 0)</f>
        <v>1</v>
      </c>
      <c r="M11" s="81">
        <f t="shared" si="5"/>
        <v>0.11789046615853738</v>
      </c>
      <c r="N11" s="87">
        <f t="shared" si="6"/>
        <v>0.73783854469371146</v>
      </c>
      <c r="O11" s="88">
        <f t="shared" si="7"/>
        <v>1</v>
      </c>
      <c r="P11" s="84">
        <f t="shared" si="8"/>
        <v>36889.641325536009</v>
      </c>
      <c r="Q11" s="85">
        <f t="shared" si="0"/>
        <v>1</v>
      </c>
      <c r="R11" s="86">
        <f t="shared" si="1"/>
        <v>20.787565583925574</v>
      </c>
      <c r="S11" s="94">
        <f t="shared" si="2"/>
        <v>1065.9157154066786</v>
      </c>
      <c r="T11" s="80">
        <f t="shared" si="9"/>
        <v>663.79873664023842</v>
      </c>
      <c r="W11" s="73"/>
    </row>
    <row r="12" spans="1:24" ht="14.25" x14ac:dyDescent="0.45">
      <c r="A12" s="18" t="s">
        <v>205</v>
      </c>
      <c r="B12" s="19">
        <v>0.45</v>
      </c>
      <c r="D12" s="18" t="s">
        <v>83</v>
      </c>
      <c r="E12" s="46">
        <f>(E10/E9)^(1/(2045-2025))-1</f>
        <v>1.12727930933334E-2</v>
      </c>
      <c r="F12" s="28"/>
      <c r="H12" s="59">
        <v>2026</v>
      </c>
      <c r="I12" s="97">
        <f t="shared" si="10"/>
        <v>51353.443706072547</v>
      </c>
      <c r="J12" s="60">
        <f t="shared" si="4"/>
        <v>175682.83373130072</v>
      </c>
      <c r="K12" s="60">
        <f>IF(H12=Year_Open_to_Traffic?,Calculations!$E$4,K11+(K11*M12))</f>
        <v>138377.34311181467</v>
      </c>
      <c r="L12" s="60">
        <f>IF(AND(H12&gt;=Year_Open_to_Traffic?, Calculations!H12&lt;Year_Open_to_Traffic?+'Inputs &amp; Outputs'!B$21), 1, 0)</f>
        <v>1</v>
      </c>
      <c r="M12" s="81">
        <f t="shared" ref="M12:M36" si="11">IFERROR(_2025_2045_Demand_Growth,_2018_2045_Demand_Growth)</f>
        <v>1.12727930933334E-2</v>
      </c>
      <c r="N12" s="87">
        <f t="shared" ref="N12:N36" si="12">N11*(1+IFERROR(_2025_2045_V_C_Growth,_2018_2045_V_C_Growth))</f>
        <v>0.74615604594432994</v>
      </c>
      <c r="O12" s="88">
        <f t="shared" si="7"/>
        <v>1</v>
      </c>
      <c r="P12" s="84">
        <f t="shared" si="8"/>
        <v>37305.490619486052</v>
      </c>
      <c r="Q12" s="85">
        <f t="shared" si="0"/>
        <v>1</v>
      </c>
      <c r="R12" s="86">
        <f t="shared" si="1"/>
        <v>21.265679592355859</v>
      </c>
      <c r="S12" s="94">
        <f t="shared" si="2"/>
        <v>1102.723988663982</v>
      </c>
      <c r="T12" s="80">
        <f t="shared" si="9"/>
        <v>641.79540122471178</v>
      </c>
      <c r="W12" s="73"/>
    </row>
    <row r="13" spans="1:24" ht="14.25" x14ac:dyDescent="0.45">
      <c r="A13" s="18" t="s">
        <v>206</v>
      </c>
      <c r="B13" s="19">
        <v>0.43</v>
      </c>
      <c r="D13" s="18" t="s">
        <v>84</v>
      </c>
      <c r="E13" s="46">
        <f>(E10/E8)^(1/(2045-2018))-1</f>
        <v>2.2295623176845636E-2</v>
      </c>
      <c r="F13" s="28"/>
      <c r="H13" s="15">
        <f t="shared" si="3"/>
        <v>2027</v>
      </c>
      <c r="I13" s="97">
        <f t="shared" si="10"/>
        <v>51932.340451601245</v>
      </c>
      <c r="J13" s="60">
        <f t="shared" si="4"/>
        <v>177663.26996600415</v>
      </c>
      <c r="K13" s="60">
        <f>IF(H13=Year_Open_to_Traffic?,Calculations!$E$4,K12+(K12*M13))</f>
        <v>139937.24226951937</v>
      </c>
      <c r="L13" s="60">
        <f>IF(AND(H13&gt;=Year_Open_to_Traffic?, Calculations!H13&lt;Year_Open_to_Traffic?+'Inputs &amp; Outputs'!B$21), 1, 0)</f>
        <v>1</v>
      </c>
      <c r="M13" s="81">
        <f t="shared" si="11"/>
        <v>1.12727930933334E-2</v>
      </c>
      <c r="N13" s="87">
        <f t="shared" si="12"/>
        <v>0.75456730866560018</v>
      </c>
      <c r="O13" s="88">
        <f t="shared" si="7"/>
        <v>1</v>
      </c>
      <c r="P13" s="84">
        <f t="shared" si="8"/>
        <v>37726.027696484787</v>
      </c>
      <c r="Q13" s="85">
        <f t="shared" si="0"/>
        <v>1</v>
      </c>
      <c r="R13" s="86">
        <f t="shared" si="1"/>
        <v>21.754790222980041</v>
      </c>
      <c r="S13" s="94">
        <f t="shared" si="2"/>
        <v>1140.8033276918725</v>
      </c>
      <c r="T13" s="80">
        <f t="shared" si="9"/>
        <v>620.5214235838904</v>
      </c>
      <c r="W13" s="73"/>
    </row>
    <row r="14" spans="1:24" ht="14.25" x14ac:dyDescent="0.45">
      <c r="H14" s="59">
        <f>H13+1</f>
        <v>2028</v>
      </c>
      <c r="I14" s="97">
        <f t="shared" si="10"/>
        <v>52517.762980364692</v>
      </c>
      <c r="J14" s="60">
        <f t="shared" si="4"/>
        <v>179666.03124861597</v>
      </c>
      <c r="K14" s="60">
        <f>IF(H14=Year_Open_to_Traffic?,Calculations!$E$4,K13+(K13*M14))</f>
        <v>141514.72584767532</v>
      </c>
      <c r="L14" s="60">
        <f>IF(AND(H14&gt;=Year_Open_to_Traffic?, Calculations!H14&lt;Year_Open_to_Traffic?+'Inputs &amp; Outputs'!B$21), 1, 0)</f>
        <v>1</v>
      </c>
      <c r="M14" s="81">
        <f t="shared" si="11"/>
        <v>1.12727930933334E-2</v>
      </c>
      <c r="N14" s="87">
        <f t="shared" si="12"/>
        <v>0.76307338981118089</v>
      </c>
      <c r="O14" s="88">
        <f t="shared" si="7"/>
        <v>1</v>
      </c>
      <c r="P14" s="84">
        <f t="shared" si="8"/>
        <v>38151.305400940648</v>
      </c>
      <c r="Q14" s="85">
        <f t="shared" si="0"/>
        <v>1</v>
      </c>
      <c r="R14" s="86">
        <f t="shared" si="1"/>
        <v>22.255150398108579</v>
      </c>
      <c r="S14" s="94">
        <f t="shared" si="2"/>
        <v>1180.1976250191276</v>
      </c>
      <c r="T14" s="80">
        <f t="shared" si="9"/>
        <v>599.95262725754867</v>
      </c>
      <c r="W14" s="73"/>
    </row>
    <row r="15" spans="1:24" ht="14.25" x14ac:dyDescent="0.45">
      <c r="H15" s="15">
        <f t="shared" si="3"/>
        <v>2029</v>
      </c>
      <c r="I15" s="97">
        <f t="shared" si="10"/>
        <v>53109.784856167069</v>
      </c>
      <c r="J15" s="60">
        <f t="shared" si="4"/>
        <v>181691.36924478199</v>
      </c>
      <c r="K15" s="60">
        <f>IF(H15=Year_Open_to_Traffic?,Calculations!$E$4,K14+(K14*M15))</f>
        <v>143109.99207181597</v>
      </c>
      <c r="L15" s="60">
        <f>IF(AND(H15&gt;=Year_Open_to_Traffic?, Calculations!H15&lt;Year_Open_to_Traffic?+'Inputs &amp; Outputs'!B$21), 1, 0)</f>
        <v>1</v>
      </c>
      <c r="M15" s="81">
        <f t="shared" si="11"/>
        <v>1.12727930933334E-2</v>
      </c>
      <c r="N15" s="87">
        <f t="shared" si="12"/>
        <v>0.77167535824955091</v>
      </c>
      <c r="O15" s="88">
        <f t="shared" si="7"/>
        <v>1</v>
      </c>
      <c r="P15" s="84">
        <f t="shared" si="8"/>
        <v>38581.377172966022</v>
      </c>
      <c r="Q15" s="85">
        <f t="shared" si="0"/>
        <v>1</v>
      </c>
      <c r="R15" s="86">
        <f t="shared" si="1"/>
        <v>22.767018857265079</v>
      </c>
      <c r="S15" s="94">
        <f t="shared" si="2"/>
        <v>1220.9522888742815</v>
      </c>
      <c r="T15" s="80">
        <f t="shared" si="9"/>
        <v>580.06563717710696</v>
      </c>
      <c r="W15" s="73"/>
    </row>
    <row r="16" spans="1:24" ht="14.25" x14ac:dyDescent="0.45">
      <c r="H16" s="59">
        <f t="shared" si="3"/>
        <v>2030</v>
      </c>
      <c r="I16" s="97">
        <f t="shared" si="10"/>
        <v>53708.48047208209</v>
      </c>
      <c r="J16" s="60">
        <f t="shared" si="4"/>
        <v>183739.53845712286</v>
      </c>
      <c r="K16" s="60">
        <f>IF(H16=Year_Open_to_Traffic?,Calculations!$E$4,K15+(K15*M16))</f>
        <v>144723.24140203014</v>
      </c>
      <c r="L16" s="60">
        <f>IF(AND(H16&gt;=Year_Open_to_Traffic?, Calculations!H16&lt;Year_Open_to_Traffic?+'Inputs &amp; Outputs'!B$21), 1, 0)</f>
        <v>1</v>
      </c>
      <c r="M16" s="81">
        <f t="shared" si="11"/>
        <v>1.12727930933334E-2</v>
      </c>
      <c r="N16" s="87">
        <f t="shared" si="12"/>
        <v>0.780374294898322</v>
      </c>
      <c r="O16" s="88">
        <f t="shared" si="7"/>
        <v>1</v>
      </c>
      <c r="P16" s="84">
        <f t="shared" si="8"/>
        <v>39016.297055092728</v>
      </c>
      <c r="Q16" s="85">
        <f t="shared" si="0"/>
        <v>1</v>
      </c>
      <c r="R16" s="86">
        <f t="shared" si="1"/>
        <v>23.290660290982171</v>
      </c>
      <c r="S16" s="94">
        <f t="shared" si="2"/>
        <v>1263.1142955258758</v>
      </c>
      <c r="T16" s="80">
        <f t="shared" si="9"/>
        <v>560.83785310142525</v>
      </c>
      <c r="W16" s="73"/>
    </row>
    <row r="17" spans="1:23" ht="14.25" x14ac:dyDescent="0.45">
      <c r="A17" s="29"/>
      <c r="H17" s="15">
        <f t="shared" si="3"/>
        <v>2031</v>
      </c>
      <c r="I17" s="97">
        <f t="shared" si="10"/>
        <v>54313.925059801208</v>
      </c>
      <c r="J17" s="60">
        <f t="shared" si="4"/>
        <v>185810.79625721459</v>
      </c>
      <c r="K17" s="60">
        <f>IF(H17=Year_Open_to_Traffic?,Calculations!$E$4,K16+(K16*M17))</f>
        <v>146354.67655815175</v>
      </c>
      <c r="L17" s="60">
        <f>IF(AND(H17&gt;=Year_Open_to_Traffic?, Calculations!H17&lt;Year_Open_to_Traffic?+'Inputs &amp; Outputs'!B$21), 1, 0)</f>
        <v>1</v>
      </c>
      <c r="M17" s="81">
        <f t="shared" si="11"/>
        <v>1.12727930933334E-2</v>
      </c>
      <c r="N17" s="87">
        <f t="shared" si="12"/>
        <v>0.78917129286006671</v>
      </c>
      <c r="O17" s="88">
        <f t="shared" si="7"/>
        <v>1</v>
      </c>
      <c r="P17" s="84">
        <f t="shared" si="8"/>
        <v>39456.119699062838</v>
      </c>
      <c r="Q17" s="85">
        <f t="shared" si="0"/>
        <v>1</v>
      </c>
      <c r="R17" s="86">
        <f t="shared" si="1"/>
        <v>23.82634547767476</v>
      </c>
      <c r="S17" s="94">
        <f t="shared" si="2"/>
        <v>1306.7322434301202</v>
      </c>
      <c r="T17" s="80">
        <f t="shared" si="9"/>
        <v>542.24742393312999</v>
      </c>
      <c r="W17" s="73"/>
    </row>
    <row r="18" spans="1:23" ht="14.25" x14ac:dyDescent="0.45">
      <c r="H18" s="59">
        <f t="shared" si="3"/>
        <v>2032</v>
      </c>
      <c r="I18" s="97">
        <f t="shared" si="10"/>
        <v>54926.194699087166</v>
      </c>
      <c r="J18" s="60">
        <f t="shared" si="4"/>
        <v>187905.40291792969</v>
      </c>
      <c r="K18" s="60">
        <f>IF(H18=Year_Open_to_Traffic?,Calculations!$E$4,K17+(K17*M18))</f>
        <v>148004.50254523352</v>
      </c>
      <c r="L18" s="60">
        <f>IF(AND(H18&gt;=Year_Open_to_Traffic?, Calculations!H18&lt;Year_Open_to_Traffic?+'Inputs &amp; Outputs'!B$21), 1, 0)</f>
        <v>1</v>
      </c>
      <c r="M18" s="81">
        <f t="shared" si="11"/>
        <v>1.12727930933334E-2</v>
      </c>
      <c r="N18" s="87">
        <f t="shared" si="12"/>
        <v>0.79806745755967667</v>
      </c>
      <c r="O18" s="88">
        <f t="shared" si="7"/>
        <v>1</v>
      </c>
      <c r="P18" s="84">
        <f t="shared" si="8"/>
        <v>39900.900372696167</v>
      </c>
      <c r="Q18" s="85">
        <f t="shared" si="0"/>
        <v>1</v>
      </c>
      <c r="R18" s="86">
        <f t="shared" si="1"/>
        <v>24.374351423661277</v>
      </c>
      <c r="S18" s="94">
        <f t="shared" si="2"/>
        <v>1351.856409248385</v>
      </c>
      <c r="T18" s="80">
        <f t="shared" si="9"/>
        <v>524.27322288629637</v>
      </c>
      <c r="W18" s="73"/>
    </row>
    <row r="19" spans="1:23" ht="14.25" x14ac:dyDescent="0.45">
      <c r="H19" s="15">
        <f t="shared" si="3"/>
        <v>2033</v>
      </c>
      <c r="I19" s="97">
        <f t="shared" si="10"/>
        <v>55545.366327334123</v>
      </c>
      <c r="J19" s="60">
        <f t="shared" si="4"/>
        <v>190023.62164614297</v>
      </c>
      <c r="K19" s="60">
        <f>IF(H19=Year_Open_to_Traffic?,Calculations!$E$4,K18+(K18*M19))</f>
        <v>149672.92667930768</v>
      </c>
      <c r="L19" s="60">
        <f>IF(AND(H19&gt;=Year_Open_to_Traffic?, Calculations!H19&lt;Year_Open_to_Traffic?+'Inputs &amp; Outputs'!B$21), 1, 0)</f>
        <v>1</v>
      </c>
      <c r="M19" s="81">
        <f t="shared" si="11"/>
        <v>1.12727930933334E-2</v>
      </c>
      <c r="N19" s="87">
        <f t="shared" si="12"/>
        <v>0.80706390688326957</v>
      </c>
      <c r="O19" s="88">
        <f t="shared" si="7"/>
        <v>1</v>
      </c>
      <c r="P19" s="84">
        <f t="shared" si="8"/>
        <v>40350.69496683529</v>
      </c>
      <c r="Q19" s="85">
        <f t="shared" si="0"/>
        <v>1</v>
      </c>
      <c r="R19" s="86">
        <f t="shared" si="1"/>
        <v>24.934961506405479</v>
      </c>
      <c r="S19" s="94">
        <f t="shared" si="2"/>
        <v>1398.5388057990988</v>
      </c>
      <c r="T19" s="80">
        <f t="shared" si="9"/>
        <v>506.89482347726238</v>
      </c>
      <c r="W19" s="73"/>
    </row>
    <row r="20" spans="1:23" ht="14.25" x14ac:dyDescent="0.45">
      <c r="H20" s="59">
        <f t="shared" si="3"/>
        <v>2034</v>
      </c>
      <c r="I20" s="97">
        <f t="shared" si="10"/>
        <v>56171.517749235565</v>
      </c>
      <c r="J20" s="60">
        <f t="shared" si="4"/>
        <v>192165.71861580582</v>
      </c>
      <c r="K20" s="60">
        <f>IF(H20=Year_Open_to_Traffic?,Calculations!$E$4,K19+(K19*M20))</f>
        <v>151360.15861343718</v>
      </c>
      <c r="L20" s="60">
        <f>IF(AND(H20&gt;=Year_Open_to_Traffic?, Calculations!H20&lt;Year_Open_to_Traffic?+'Inputs &amp; Outputs'!B$21), 1, 0)</f>
        <v>1</v>
      </c>
      <c r="M20" s="81">
        <f t="shared" si="11"/>
        <v>1.12727930933334E-2</v>
      </c>
      <c r="N20" s="87">
        <f t="shared" si="12"/>
        <v>0.81616177131866197</v>
      </c>
      <c r="O20" s="88">
        <f t="shared" si="7"/>
        <v>1</v>
      </c>
      <c r="P20" s="84">
        <f t="shared" si="8"/>
        <v>40805.560002368642</v>
      </c>
      <c r="Q20" s="85">
        <f t="shared" si="0"/>
        <v>1</v>
      </c>
      <c r="R20" s="86">
        <f t="shared" si="1"/>
        <v>25.508465621052807</v>
      </c>
      <c r="S20" s="94">
        <f t="shared" si="2"/>
        <v>1446.8332420108368</v>
      </c>
      <c r="T20" s="80">
        <f t="shared" si="9"/>
        <v>490.09247631128852</v>
      </c>
      <c r="W20" s="73"/>
    </row>
    <row r="21" spans="1:23" ht="14.25" x14ac:dyDescent="0.45">
      <c r="H21" s="15">
        <f t="shared" si="3"/>
        <v>2035</v>
      </c>
      <c r="I21" s="97">
        <f t="shared" si="10"/>
        <v>56804.727646561201</v>
      </c>
      <c r="J21" s="60">
        <f t="shared" si="4"/>
        <v>194331.96300139351</v>
      </c>
      <c r="K21" s="60">
        <f>IF(H21=Year_Open_to_Traffic?,Calculations!$E$4,K20+(K20*M21))</f>
        <v>153066.41036406058</v>
      </c>
      <c r="L21" s="60">
        <f>IF(AND(H21&gt;=Year_Open_to_Traffic?, Calculations!H21&lt;Year_Open_to_Traffic?+'Inputs &amp; Outputs'!B$21), 1, 0)</f>
        <v>1</v>
      </c>
      <c r="M21" s="81">
        <f t="shared" si="11"/>
        <v>1.12727930933334E-2</v>
      </c>
      <c r="N21" s="87">
        <f t="shared" si="12"/>
        <v>0.82536219409742573</v>
      </c>
      <c r="O21" s="88">
        <f t="shared" si="7"/>
        <v>1</v>
      </c>
      <c r="P21" s="84">
        <f t="shared" si="8"/>
        <v>41265.552637332934</v>
      </c>
      <c r="Q21" s="85">
        <f t="shared" si="0"/>
        <v>1</v>
      </c>
      <c r="R21" s="86">
        <f t="shared" si="1"/>
        <v>26.095160330337016</v>
      </c>
      <c r="S21" s="94">
        <f t="shared" si="2"/>
        <v>1496.7953849457185</v>
      </c>
      <c r="T21" s="80">
        <f t="shared" si="9"/>
        <v>473.84708663868395</v>
      </c>
      <c r="W21" s="73"/>
    </row>
    <row r="22" spans="1:23" ht="14.25" x14ac:dyDescent="0.45">
      <c r="H22" s="59">
        <f>H21+1</f>
        <v>2036</v>
      </c>
      <c r="I22" s="97">
        <f t="shared" si="10"/>
        <v>57445.075588044041</v>
      </c>
      <c r="J22" s="60">
        <f t="shared" si="4"/>
        <v>196522.62701172955</v>
      </c>
      <c r="K22" s="60">
        <f>IF(H22=Year_Open_to_Traffic?,Calculations!$E$4,K21+(K21*M22))</f>
        <v>154791.89633763389</v>
      </c>
      <c r="L22" s="60">
        <f>IF(AND(H22&gt;=Year_Open_to_Traffic?, Calculations!H22&lt;Year_Open_to_Traffic?+'Inputs &amp; Outputs'!B$21), 1, 0)</f>
        <v>1</v>
      </c>
      <c r="M22" s="81">
        <f t="shared" si="11"/>
        <v>1.12727930933334E-2</v>
      </c>
      <c r="N22" s="87">
        <f t="shared" si="12"/>
        <v>0.83466633133854573</v>
      </c>
      <c r="O22" s="88">
        <f t="shared" si="7"/>
        <v>1</v>
      </c>
      <c r="P22" s="84">
        <f t="shared" si="8"/>
        <v>41730.730674095656</v>
      </c>
      <c r="Q22" s="85">
        <f t="shared" si="0"/>
        <v>1</v>
      </c>
      <c r="R22" s="86">
        <f t="shared" si="1"/>
        <v>26.695349017934767</v>
      </c>
      <c r="S22" s="94">
        <f t="shared" si="2"/>
        <v>1548.4828239646033</v>
      </c>
      <c r="T22" s="80">
        <f t="shared" si="9"/>
        <v>458.1401926548956</v>
      </c>
      <c r="W22" s="73"/>
    </row>
    <row r="23" spans="1:23" ht="14.25" x14ac:dyDescent="0.45">
      <c r="H23" s="15">
        <f t="shared" si="3"/>
        <v>2037</v>
      </c>
      <c r="I23" s="97">
        <f t="shared" si="10"/>
        <v>58092.642039378959</v>
      </c>
      <c r="J23" s="60">
        <f t="shared" si="4"/>
        <v>198737.9859241911</v>
      </c>
      <c r="K23" s="60">
        <f>IF(H23=Year_Open_to_Traffic?,Calculations!$E$4,K22+(K22*M23))</f>
        <v>156536.83335757276</v>
      </c>
      <c r="L23" s="60">
        <f>IF(AND(H23&gt;=Year_Open_to_Traffic?, Calculations!H23&lt;Year_Open_to_Traffic?+'Inputs &amp; Outputs'!B$21), 1, 0)</f>
        <v>1</v>
      </c>
      <c r="M23" s="81">
        <f t="shared" si="11"/>
        <v>1.12727930933334E-2</v>
      </c>
      <c r="N23" s="87">
        <f t="shared" si="12"/>
        <v>0.84407535219369678</v>
      </c>
      <c r="O23" s="88">
        <f t="shared" si="7"/>
        <v>1</v>
      </c>
      <c r="P23" s="84">
        <f t="shared" si="8"/>
        <v>42201.152566618344</v>
      </c>
      <c r="Q23" s="85">
        <f t="shared" si="0"/>
        <v>1</v>
      </c>
      <c r="R23" s="86">
        <f t="shared" si="1"/>
        <v>27.309342045347261</v>
      </c>
      <c r="S23" s="94">
        <f t="shared" si="2"/>
        <v>1601.9551371080343</v>
      </c>
      <c r="T23" s="80">
        <f t="shared" si="9"/>
        <v>442.95394451989335</v>
      </c>
      <c r="W23" s="73"/>
    </row>
    <row r="24" spans="1:23" ht="14.25" x14ac:dyDescent="0.45">
      <c r="H24" s="59">
        <f t="shared" si="3"/>
        <v>2038</v>
      </c>
      <c r="I24" s="97">
        <f t="shared" si="10"/>
        <v>58747.508373333963</v>
      </c>
      <c r="J24" s="60">
        <f t="shared" si="4"/>
        <v>200978.31811930033</v>
      </c>
      <c r="K24" s="60">
        <f>IF(H24=Year_Open_to_Traffic?,Calculations!$E$4,K23+(K23*M24))</f>
        <v>158301.44069149828</v>
      </c>
      <c r="L24" s="60">
        <f>IF(AND(H24&gt;=Year_Open_to_Traffic?, Calculations!H24&lt;Year_Open_to_Traffic?+'Inputs &amp; Outputs'!B$21), 1, 0)</f>
        <v>1</v>
      </c>
      <c r="M24" s="81">
        <f t="shared" si="11"/>
        <v>1.12727930933334E-2</v>
      </c>
      <c r="N24" s="87">
        <f t="shared" si="12"/>
        <v>0.85359043899415887</v>
      </c>
      <c r="O24" s="88">
        <f t="shared" si="7"/>
        <v>1</v>
      </c>
      <c r="P24" s="84">
        <f>(J24-K24)*L24</f>
        <v>42676.877427802043</v>
      </c>
      <c r="Q24" s="85">
        <f t="shared" si="0"/>
        <v>1</v>
      </c>
      <c r="R24" s="86">
        <f t="shared" si="1"/>
        <v>27.93745691239025</v>
      </c>
      <c r="S24" s="94">
        <f t="shared" si="2"/>
        <v>1657.2739597694656</v>
      </c>
      <c r="T24" s="80">
        <f t="shared" si="9"/>
        <v>428.27108407301682</v>
      </c>
      <c r="W24" s="73"/>
    </row>
    <row r="25" spans="1:23" ht="14.25" x14ac:dyDescent="0.45">
      <c r="H25" s="15">
        <f t="shared" si="3"/>
        <v>2039</v>
      </c>
      <c r="I25" s="97">
        <f t="shared" si="10"/>
        <v>59409.75687997543</v>
      </c>
      <c r="J25" s="60">
        <f t="shared" si="4"/>
        <v>203243.90511570533</v>
      </c>
      <c r="K25" s="60">
        <f>IF(H25=Year_Open_to_Traffic?,Calculations!$E$4,K24+(K24*M25))</f>
        <v>160085.94007879012</v>
      </c>
      <c r="L25" s="60">
        <f>IF(AND(H25&gt;=Year_Open_to_Traffic?, Calculations!H25&lt;Year_Open_to_Traffic?+'Inputs &amp; Outputs'!B$21), 1, 0)</f>
        <v>1</v>
      </c>
      <c r="M25" s="81">
        <f t="shared" si="11"/>
        <v>1.12727930933334E-2</v>
      </c>
      <c r="N25" s="87">
        <f t="shared" si="12"/>
        <v>0.86321278739938767</v>
      </c>
      <c r="O25" s="88">
        <f t="shared" si="7"/>
        <v>1</v>
      </c>
      <c r="P25" s="84">
        <f t="shared" si="8"/>
        <v>43157.965036915208</v>
      </c>
      <c r="Q25" s="85">
        <f t="shared" si="0"/>
        <v>1</v>
      </c>
      <c r="R25" s="86">
        <f t="shared" si="1"/>
        <v>28.580018421375218</v>
      </c>
      <c r="S25" s="94">
        <f t="shared" si="2"/>
        <v>1714.5030557399048</v>
      </c>
      <c r="T25" s="80">
        <f t="shared" si="9"/>
        <v>414.07492522022142</v>
      </c>
      <c r="W25" s="73"/>
    </row>
    <row r="26" spans="1:23" ht="14.25" x14ac:dyDescent="0.45">
      <c r="H26" s="59">
        <f t="shared" si="3"/>
        <v>2040</v>
      </c>
      <c r="I26" s="97">
        <f t="shared" si="10"/>
        <v>60079.470777008632</v>
      </c>
      <c r="J26" s="60">
        <f t="shared" si="4"/>
        <v>205535.03160555576</v>
      </c>
      <c r="K26" s="60">
        <f>IF(H26=Year_Open_to_Traffic?,Calculations!$E$4,K25+(K25*M26))</f>
        <v>161890.55575845009</v>
      </c>
      <c r="L26" s="60">
        <f>IF(AND(H26&gt;=Year_Open_to_Traffic?, Calculations!H26&lt;Year_Open_to_Traffic?+'Inputs &amp; Outputs'!B$21), 1, 0)</f>
        <v>1</v>
      </c>
      <c r="M26" s="81">
        <f t="shared" si="11"/>
        <v>1.12727930933334E-2</v>
      </c>
      <c r="N26" s="87">
        <f t="shared" si="12"/>
        <v>0.87294360654726055</v>
      </c>
      <c r="O26" s="88">
        <f t="shared" si="7"/>
        <v>1</v>
      </c>
      <c r="P26" s="84">
        <f t="shared" si="8"/>
        <v>43644.47584710567</v>
      </c>
      <c r="Q26" s="85">
        <f t="shared" si="0"/>
        <v>1</v>
      </c>
      <c r="R26" s="86">
        <f t="shared" si="1"/>
        <v>29.237358845066851</v>
      </c>
      <c r="S26" s="94">
        <f t="shared" si="2"/>
        <v>1773.7083907058873</v>
      </c>
      <c r="T26" s="80">
        <f t="shared" si="9"/>
        <v>400.34933497144482</v>
      </c>
      <c r="W26" s="73"/>
    </row>
    <row r="27" spans="1:23" ht="14.25" x14ac:dyDescent="0.45">
      <c r="H27" s="15">
        <f t="shared" si="3"/>
        <v>2041</v>
      </c>
      <c r="I27" s="97">
        <f t="shared" si="10"/>
        <v>60756.734220234823</v>
      </c>
      <c r="J27" s="60">
        <f t="shared" si="4"/>
        <v>207851.98549027694</v>
      </c>
      <c r="K27" s="60">
        <f>IF(H27=Year_Open_to_Traffic?,Calculations!$E$4,K26+(K26*M27))</f>
        <v>163715.51449727986</v>
      </c>
      <c r="L27" s="60">
        <f>IF(AND(H27&gt;=Year_Open_to_Traffic?, Calculations!H27&lt;Year_Open_to_Traffic?+'Inputs &amp; Outputs'!B$21), 1, 0)</f>
        <v>1</v>
      </c>
      <c r="M27" s="81">
        <f t="shared" si="11"/>
        <v>1.12727930933334E-2</v>
      </c>
      <c r="N27" s="87">
        <f t="shared" si="12"/>
        <v>0.88278411920601607</v>
      </c>
      <c r="O27" s="88">
        <f t="shared" si="7"/>
        <v>1</v>
      </c>
      <c r="P27" s="84">
        <f t="shared" si="8"/>
        <v>44136.470992997085</v>
      </c>
      <c r="Q27" s="85">
        <f t="shared" si="0"/>
        <v>1</v>
      </c>
      <c r="R27" s="86">
        <f t="shared" si="1"/>
        <v>29.909818098503379</v>
      </c>
      <c r="S27" s="94">
        <f t="shared" si="2"/>
        <v>1834.9582082854749</v>
      </c>
      <c r="T27" s="80">
        <f t="shared" si="9"/>
        <v>387.07871510653553</v>
      </c>
      <c r="W27" s="73"/>
    </row>
    <row r="28" spans="1:23" ht="14.25" x14ac:dyDescent="0.45">
      <c r="H28" s="59">
        <f t="shared" si="3"/>
        <v>2042</v>
      </c>
      <c r="I28" s="97">
        <f t="shared" si="10"/>
        <v>61441.632314126182</v>
      </c>
      <c r="J28" s="60">
        <f t="shared" si="4"/>
        <v>210195.05791674738</v>
      </c>
      <c r="K28" s="60">
        <f>IF(H28=Year_Open_to_Traffic?,Calculations!$E$4,K27+(K27*M28))</f>
        <v>165561.04561837632</v>
      </c>
      <c r="L28" s="60">
        <f>IF(AND(H28&gt;=Year_Open_to_Traffic?, Calculations!H28&lt;Year_Open_to_Traffic?+'Inputs &amp; Outputs'!B$21), 1, 0)</f>
        <v>0</v>
      </c>
      <c r="M28" s="81">
        <f t="shared" si="11"/>
        <v>1.12727930933334E-2</v>
      </c>
      <c r="N28" s="87">
        <f t="shared" si="12"/>
        <v>0.89273556192790604</v>
      </c>
      <c r="O28" s="88">
        <f t="shared" si="7"/>
        <v>1</v>
      </c>
      <c r="P28" s="84">
        <f t="shared" si="8"/>
        <v>0</v>
      </c>
      <c r="Q28" s="85">
        <f t="shared" si="0"/>
        <v>0</v>
      </c>
      <c r="R28" s="86">
        <f t="shared" si="1"/>
        <v>30.597743914768959</v>
      </c>
      <c r="S28" s="94">
        <f t="shared" si="2"/>
        <v>0</v>
      </c>
      <c r="T28" s="80">
        <f t="shared" si="9"/>
        <v>0</v>
      </c>
      <c r="W28" s="73"/>
    </row>
    <row r="29" spans="1:23" ht="14.25" x14ac:dyDescent="0.45">
      <c r="H29" s="15">
        <f t="shared" si="3"/>
        <v>2043</v>
      </c>
      <c r="I29" s="97">
        <f t="shared" si="10"/>
        <v>62134.251122519992</v>
      </c>
      <c r="J29" s="60">
        <f t="shared" si="4"/>
        <v>212564.54331388409</v>
      </c>
      <c r="K29" s="60">
        <f>IF(H29=Year_Open_to_Traffic?,Calculations!$E$4,K28+(K28*M29))</f>
        <v>167427.38102994821</v>
      </c>
      <c r="L29" s="60">
        <f>IF(AND(H29&gt;=Year_Open_to_Traffic?, Calculations!H29&lt;Year_Open_to_Traffic?+'Inputs &amp; Outputs'!B$21), 1, 0)</f>
        <v>0</v>
      </c>
      <c r="M29" s="81">
        <f t="shared" si="11"/>
        <v>1.12727930933334E-2</v>
      </c>
      <c r="N29" s="87">
        <f t="shared" si="12"/>
        <v>0.90279918520458002</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62834.677679433378</v>
      </c>
      <c r="J30" s="60">
        <f t="shared" si="4"/>
        <v>214960.73942964041</v>
      </c>
      <c r="K30" s="60">
        <f>IF(H30=Year_Open_to_Traffic?,Calculations!$E$4,K29+(K29*M30))</f>
        <v>169314.7552544575</v>
      </c>
      <c r="L30" s="60">
        <f>IF(AND(H30&gt;=Year_Open_to_Traffic?, Calculations!H30&lt;Year_Open_to_Traffic?+'Inputs &amp; Outputs'!B$21), 1, 0)</f>
        <v>0</v>
      </c>
      <c r="M30" s="81">
        <f t="shared" si="11"/>
        <v>1.12727930933334E-2</v>
      </c>
      <c r="N30" s="87">
        <f t="shared" si="12"/>
        <v>0.91297625362422119</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63542.999999999927</v>
      </c>
      <c r="J31" s="60">
        <f t="shared" si="4"/>
        <v>217383.94736842069</v>
      </c>
      <c r="K31" s="60">
        <f>IF(H31=Year_Open_to_Traffic?,Calculations!$E$4,K30+(K30*M31))</f>
        <v>171223.40545808937</v>
      </c>
      <c r="L31" s="60">
        <f>IF(AND(H31&gt;=Year_Open_to_Traffic?, Calculations!H31&lt;Year_Open_to_Traffic?+'Inputs &amp; Outputs'!B$21), 1, 0)</f>
        <v>0</v>
      </c>
      <c r="M31" s="81">
        <f t="shared" si="11"/>
        <v>1.12727930933334E-2</v>
      </c>
      <c r="N31" s="87">
        <f t="shared" si="12"/>
        <v>0.92326804603045376</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64259.307091529612</v>
      </c>
      <c r="J32" s="60">
        <f t="shared" si="4"/>
        <v>219834.47162891697</v>
      </c>
      <c r="K32" s="60">
        <f>IF(H32=Year_Open_to_Traffic?,Calculations!$E$4,K31+(K31*M32))</f>
        <v>173153.57148055435</v>
      </c>
      <c r="L32" s="60">
        <f>IF(AND(H32&gt;=Year_Open_to_Traffic?, Calculations!H32&lt;Year_Open_to_Traffic?+'Inputs &amp; Outputs'!B$21), 1, 0)</f>
        <v>0</v>
      </c>
      <c r="M32" s="81">
        <f t="shared" si="11"/>
        <v>1.12727930933334E-2</v>
      </c>
      <c r="N32" s="87">
        <f t="shared" si="12"/>
        <v>0.93367585568304123</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64983.6889646934</v>
      </c>
      <c r="J33" s="60">
        <f t="shared" si="4"/>
        <v>222312.62014237203</v>
      </c>
      <c r="K33" s="60">
        <f>IF(H33=Year_Open_to_Traffic?,Calculations!$E$4,K32+(K32*M33))</f>
        <v>175105.49586522634</v>
      </c>
      <c r="L33" s="60">
        <f>IF(AND(H33&gt;=Year_Open_to_Traffic?, Calculations!H33&lt;Year_Open_to_Traffic?+'Inputs &amp; Outputs'!B$21), 1, 0)</f>
        <v>0</v>
      </c>
      <c r="M33" s="81">
        <f t="shared" si="11"/>
        <v>1.12727930933334E-2</v>
      </c>
      <c r="N33" s="87">
        <f t="shared" si="12"/>
        <v>0.94420099042039718</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65716.236644833916</v>
      </c>
      <c r="J34" s="60">
        <f t="shared" si="4"/>
        <v>224818.70431127382</v>
      </c>
      <c r="K34" s="60">
        <f>IF(H34=Year_Open_to_Traffic?,Calculations!$E$4,K33+(K33*M34))</f>
        <v>177079.42388962058</v>
      </c>
      <c r="L34" s="60">
        <f>IF(AND(H34&gt;=Year_Open_to_Traffic?, Calculations!H34&lt;Year_Open_to_Traffic?+'Inputs &amp; Outputs'!B$21), 1, 0)</f>
        <v>0</v>
      </c>
      <c r="M34" s="81">
        <f t="shared" si="11"/>
        <v>1.12727930933334E-2</v>
      </c>
      <c r="N34" s="87">
        <f t="shared" si="12"/>
        <v>0.95484477282392677</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66457.042183403668</v>
      </c>
      <c r="J35" s="60">
        <f t="shared" si="4"/>
        <v>227353.0390484861</v>
      </c>
      <c r="K35" s="60">
        <f>IF(H35=Year_Open_to_Traffic?,Calculations!$E$4,K34+(K34*M35))</f>
        <v>179075.60359621496</v>
      </c>
      <c r="L35" s="60">
        <f>IF(AND(H35&gt;=Year_Open_to_Traffic?, Calculations!H35&lt;Year_Open_to_Traffic?+'Inputs &amp; Outputs'!B$21), 1, 0)</f>
        <v>0</v>
      </c>
      <c r="M35" s="81">
        <f t="shared" si="11"/>
        <v>1.12727930933334E-2</v>
      </c>
      <c r="N35" s="87">
        <f t="shared" si="12"/>
        <v>0.96560854038422184</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67206.19866953211</v>
      </c>
      <c r="J36" s="60">
        <f t="shared" si="4"/>
        <v>229915.94281682023</v>
      </c>
      <c r="K36" s="60">
        <f>IF(H36=Year_Open_to_Traffic?,Calculations!$E$4,K35+(K35*M36))</f>
        <v>181094.28582361888</v>
      </c>
      <c r="L36" s="60">
        <f>IF(AND(H36&gt;=Year_Open_to_Traffic?, Calculations!H36&lt;Year_Open_to_Traffic?+'Inputs &amp; Outputs'!B$21), 1, 0)</f>
        <v>0</v>
      </c>
      <c r="M36" s="81">
        <f t="shared" si="11"/>
        <v>1.12727930933334E-2</v>
      </c>
      <c r="N36" s="87">
        <f t="shared" si="12"/>
        <v>0.97649364566912888</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10481.08088440221</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45">
      <c r="B2" s="2" t="s">
        <v>93</v>
      </c>
    </row>
    <row r="4" spans="2:3" x14ac:dyDescent="0.45">
      <c r="B4" s="2" t="s">
        <v>32</v>
      </c>
    </row>
    <row r="5" spans="2:3" x14ac:dyDescent="0.45">
      <c r="B5" s="34" t="s">
        <v>34</v>
      </c>
      <c r="C5" s="36">
        <v>2018</v>
      </c>
    </row>
    <row r="6" spans="2:3" x14ac:dyDescent="0.45">
      <c r="B6" s="34" t="s">
        <v>35</v>
      </c>
      <c r="C6" s="51">
        <v>7.0000000000000007E-2</v>
      </c>
    </row>
    <row r="7" spans="2:3" x14ac:dyDescent="0.45">
      <c r="B7" s="31"/>
      <c r="C7" s="32"/>
    </row>
    <row r="8" spans="2:3" x14ac:dyDescent="0.45">
      <c r="B8" s="33" t="s">
        <v>33</v>
      </c>
      <c r="C8" s="32"/>
    </row>
    <row r="9" spans="2:3" x14ac:dyDescent="0.45">
      <c r="B9" s="34" t="s">
        <v>89</v>
      </c>
      <c r="C9" s="35">
        <f>'Value of Travel Time'!D21</f>
        <v>17.728589999999997</v>
      </c>
    </row>
    <row r="10" spans="2:3" x14ac:dyDescent="0.4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45">
      <c r="B2" s="3" t="s">
        <v>86</v>
      </c>
    </row>
    <row r="3" spans="2:8" x14ac:dyDescent="0.45">
      <c r="B3" s="3"/>
    </row>
    <row r="4" spans="2:8" x14ac:dyDescent="0.45">
      <c r="B4" s="63" t="s">
        <v>0</v>
      </c>
      <c r="C4" s="63" t="s">
        <v>1</v>
      </c>
      <c r="D4" s="64">
        <v>3006841</v>
      </c>
      <c r="E4" s="65">
        <f>D4/D$12</f>
        <v>0.12557431780451911</v>
      </c>
      <c r="F4" s="63"/>
      <c r="G4" s="63" t="s">
        <v>2</v>
      </c>
      <c r="H4" s="65">
        <f>SUMIF($C$4:$C$11,G4,$E$4:$E$11)</f>
        <v>0.75146889419806362</v>
      </c>
    </row>
    <row r="5" spans="2:8" x14ac:dyDescent="0.45">
      <c r="B5" s="63" t="s">
        <v>0</v>
      </c>
      <c r="C5" s="63" t="s">
        <v>2</v>
      </c>
      <c r="D5" s="64">
        <v>12248090</v>
      </c>
      <c r="E5" s="65">
        <f t="shared" ref="E5:E12" si="0">D5/D$12</f>
        <v>0.51151542304975628</v>
      </c>
      <c r="F5" s="63"/>
      <c r="G5" s="63" t="s">
        <v>1</v>
      </c>
      <c r="H5" s="65">
        <f>SUMIF($C$4:$C$11,G5,$E$4:$E$11)</f>
        <v>0.21391573997984439</v>
      </c>
    </row>
    <row r="6" spans="2:8" x14ac:dyDescent="0.45">
      <c r="B6" s="63" t="s">
        <v>3</v>
      </c>
      <c r="C6" s="63" t="s">
        <v>1</v>
      </c>
      <c r="D6" s="64">
        <v>2053465</v>
      </c>
      <c r="E6" s="65">
        <f t="shared" si="0"/>
        <v>8.5758597315407373E-2</v>
      </c>
      <c r="F6" s="63"/>
      <c r="G6" s="63" t="s">
        <v>4</v>
      </c>
      <c r="H6" s="65">
        <f>SUMIF($C$4:$C$11,G6,$E$4:$E$11)</f>
        <v>3.4615365822091917E-2</v>
      </c>
    </row>
    <row r="7" spans="2:8" x14ac:dyDescent="0.45">
      <c r="B7" s="63" t="s">
        <v>3</v>
      </c>
      <c r="C7" s="63" t="s">
        <v>2</v>
      </c>
      <c r="D7" s="64">
        <v>5512163</v>
      </c>
      <c r="E7" s="65">
        <f t="shared" si="0"/>
        <v>0.23020376147335739</v>
      </c>
      <c r="F7" s="63"/>
      <c r="G7" s="63"/>
      <c r="H7" s="65">
        <f>SUM(H4:H6)</f>
        <v>0.99999999999999989</v>
      </c>
    </row>
    <row r="8" spans="2:8" x14ac:dyDescent="0.45">
      <c r="B8" s="63" t="s">
        <v>56</v>
      </c>
      <c r="C8" s="63" t="s">
        <v>4</v>
      </c>
      <c r="D8" s="64">
        <v>108311</v>
      </c>
      <c r="E8" s="65">
        <f t="shared" si="0"/>
        <v>4.5233785011330055E-3</v>
      </c>
      <c r="F8" s="63"/>
      <c r="G8" s="63"/>
      <c r="H8" s="63"/>
    </row>
    <row r="9" spans="2:8" x14ac:dyDescent="0.45">
      <c r="B9" s="63" t="s">
        <v>57</v>
      </c>
      <c r="C9" s="63" t="s">
        <v>4</v>
      </c>
      <c r="D9" s="64">
        <v>720544</v>
      </c>
      <c r="E9" s="65">
        <f t="shared" si="0"/>
        <v>3.0091987320958909E-2</v>
      </c>
      <c r="F9" s="63"/>
      <c r="G9" s="63"/>
      <c r="H9" s="63"/>
    </row>
    <row r="10" spans="2:8" x14ac:dyDescent="0.45">
      <c r="B10" s="63" t="s">
        <v>5</v>
      </c>
      <c r="C10" s="63" t="s">
        <v>1</v>
      </c>
      <c r="D10" s="64">
        <v>61845</v>
      </c>
      <c r="E10" s="65">
        <f t="shared" si="0"/>
        <v>2.5828248599179286E-3</v>
      </c>
      <c r="F10" s="63"/>
      <c r="G10" s="63"/>
      <c r="H10" s="63"/>
    </row>
    <row r="11" spans="2:8" x14ac:dyDescent="0.45">
      <c r="B11" s="63" t="s">
        <v>6</v>
      </c>
      <c r="C11" s="63" t="s">
        <v>2</v>
      </c>
      <c r="D11" s="64">
        <v>233454</v>
      </c>
      <c r="E11" s="65">
        <f t="shared" si="0"/>
        <v>9.7497096749499558E-3</v>
      </c>
      <c r="F11" s="63"/>
      <c r="G11" s="63"/>
      <c r="H11" s="63"/>
    </row>
    <row r="12" spans="2:8" x14ac:dyDescent="0.45">
      <c r="B12" s="63"/>
      <c r="C12" s="63"/>
      <c r="D12" s="66">
        <f>SUM(D4:D11)</f>
        <v>23944713</v>
      </c>
      <c r="E12" s="65">
        <f t="shared" si="0"/>
        <v>1</v>
      </c>
      <c r="F12" s="63"/>
      <c r="G12" s="63"/>
      <c r="H12" s="63"/>
    </row>
    <row r="13" spans="2:8" x14ac:dyDescent="0.45">
      <c r="B13" s="63"/>
      <c r="C13" s="63"/>
      <c r="D13" s="63"/>
      <c r="E13" s="63"/>
      <c r="F13" s="63"/>
      <c r="G13" s="63"/>
      <c r="H13" s="63"/>
    </row>
    <row r="14" spans="2:8" x14ac:dyDescent="0.45">
      <c r="B14" s="63"/>
      <c r="C14" s="63"/>
      <c r="D14" s="63"/>
      <c r="E14" s="63"/>
      <c r="F14" s="63"/>
      <c r="G14" s="63"/>
      <c r="H14" s="63"/>
    </row>
    <row r="15" spans="2:8" x14ac:dyDescent="0.45">
      <c r="B15" s="67" t="s">
        <v>87</v>
      </c>
      <c r="C15" s="63"/>
      <c r="D15" s="63"/>
      <c r="E15" s="63"/>
      <c r="F15" s="63"/>
      <c r="G15" s="63"/>
      <c r="H15" s="63"/>
    </row>
    <row r="16" spans="2:8" x14ac:dyDescent="0.45">
      <c r="B16" s="63"/>
      <c r="C16" s="63"/>
      <c r="D16" s="63"/>
      <c r="E16" s="63"/>
      <c r="F16" s="63"/>
      <c r="G16" s="63"/>
      <c r="H16" s="63"/>
    </row>
    <row r="17" spans="2:8" x14ac:dyDescent="0.45">
      <c r="B17" s="63"/>
      <c r="C17" s="68" t="s">
        <v>191</v>
      </c>
      <c r="D17" s="68" t="s">
        <v>85</v>
      </c>
      <c r="E17" s="63"/>
      <c r="F17" s="63"/>
      <c r="G17" s="63"/>
      <c r="H17" s="63"/>
    </row>
    <row r="18" spans="2:8" x14ac:dyDescent="0.45">
      <c r="B18" s="69" t="s">
        <v>7</v>
      </c>
      <c r="C18" s="70">
        <v>14.2</v>
      </c>
      <c r="D18" s="71">
        <f>C18*(1+'Assumed Values'!$C$10)^(2018-2017)</f>
        <v>14.526599999999998</v>
      </c>
      <c r="E18" s="63"/>
      <c r="F18" s="63"/>
      <c r="G18" s="63"/>
      <c r="H18" s="63"/>
    </row>
    <row r="19" spans="2:8" x14ac:dyDescent="0.45">
      <c r="B19" s="69" t="s">
        <v>8</v>
      </c>
      <c r="C19" s="70">
        <v>26.5</v>
      </c>
      <c r="D19" s="71">
        <f>C19*(1+'Assumed Values'!$C$10)^(2018-2017)</f>
        <v>27.109499999999997</v>
      </c>
      <c r="E19" s="63"/>
      <c r="F19" s="63"/>
      <c r="G19" s="63"/>
      <c r="H19" s="63"/>
    </row>
    <row r="20" spans="2:8" x14ac:dyDescent="0.45">
      <c r="B20" s="69" t="s">
        <v>4</v>
      </c>
      <c r="C20" s="70">
        <v>28.6</v>
      </c>
      <c r="D20" s="71">
        <f>C20*(1+'Assumed Values'!$C$10)^(2018-2017)</f>
        <v>29.2578</v>
      </c>
      <c r="E20" s="63"/>
      <c r="F20" s="63"/>
      <c r="G20" s="63"/>
      <c r="H20" s="63"/>
    </row>
    <row r="21" spans="2:8" x14ac:dyDescent="0.4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B9" sqref="B9"/>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ht="14.25" x14ac:dyDescent="0.45">
      <c r="B2" s="155" t="s">
        <v>189</v>
      </c>
      <c r="C2" s="155"/>
      <c r="D2" s="155"/>
      <c r="E2" s="155"/>
      <c r="F2" s="155"/>
      <c r="G2" s="155"/>
      <c r="H2" s="155"/>
      <c r="I2" s="155"/>
    </row>
    <row r="3" spans="2:14" ht="14.25" x14ac:dyDescent="0.45">
      <c r="B3" s="156" t="s">
        <v>220</v>
      </c>
      <c r="C3" s="156"/>
      <c r="I3" s="92"/>
    </row>
    <row r="4" spans="2:14" ht="28.5" x14ac:dyDescent="0.45">
      <c r="B4" s="78" t="s">
        <v>190</v>
      </c>
      <c r="C4" s="78" t="s">
        <v>123</v>
      </c>
      <c r="D4" s="147" t="s">
        <v>194</v>
      </c>
      <c r="E4" s="78" t="s">
        <v>195</v>
      </c>
      <c r="F4" s="78" t="s">
        <v>192</v>
      </c>
      <c r="G4" s="108" t="s">
        <v>193</v>
      </c>
      <c r="H4" s="110"/>
      <c r="L4" s="78" t="s">
        <v>98</v>
      </c>
      <c r="N4" s="78" t="s">
        <v>204</v>
      </c>
    </row>
    <row r="5" spans="2:14" ht="14.25" x14ac:dyDescent="0.45">
      <c r="B5" s="89" t="s">
        <v>124</v>
      </c>
      <c r="C5" s="99">
        <v>0.1</v>
      </c>
      <c r="D5" s="90">
        <v>0.1</v>
      </c>
      <c r="E5" s="90">
        <v>7.0000000000000007E-2</v>
      </c>
      <c r="F5" s="90">
        <v>0.2</v>
      </c>
      <c r="G5" s="109">
        <v>0.15</v>
      </c>
      <c r="H5" s="111"/>
      <c r="L5" s="52" t="s">
        <v>197</v>
      </c>
      <c r="N5" s="52" t="s">
        <v>205</v>
      </c>
    </row>
    <row r="6" spans="2:14" ht="14.25" x14ac:dyDescent="0.45">
      <c r="B6" s="89" t="s">
        <v>105</v>
      </c>
      <c r="C6" s="99">
        <v>0.3</v>
      </c>
      <c r="D6" s="90">
        <v>0.2</v>
      </c>
      <c r="E6" s="90">
        <v>0.1</v>
      </c>
      <c r="F6" s="90">
        <v>0.3</v>
      </c>
      <c r="G6" s="109">
        <v>0.2</v>
      </c>
      <c r="H6" s="111"/>
      <c r="L6" s="52" t="s">
        <v>198</v>
      </c>
      <c r="N6" s="52" t="s">
        <v>206</v>
      </c>
    </row>
    <row r="7" spans="2:14" ht="14.25" x14ac:dyDescent="0.45">
      <c r="B7" s="89" t="s">
        <v>125</v>
      </c>
      <c r="C7" s="99">
        <v>0.3</v>
      </c>
      <c r="D7" s="90">
        <v>0.2</v>
      </c>
      <c r="E7" s="90">
        <v>0.15</v>
      </c>
      <c r="F7" s="90">
        <v>0.3</v>
      </c>
      <c r="G7" s="109">
        <v>0.25</v>
      </c>
      <c r="H7" s="111"/>
      <c r="L7" s="52" t="s">
        <v>199</v>
      </c>
    </row>
    <row r="8" spans="2:14" ht="14.25" x14ac:dyDescent="0.45">
      <c r="B8" s="89" t="s">
        <v>126</v>
      </c>
      <c r="C8" s="99">
        <v>0.2</v>
      </c>
      <c r="D8" s="90">
        <v>0.02</v>
      </c>
      <c r="E8" s="90">
        <v>0.02</v>
      </c>
      <c r="F8" s="90">
        <v>0.2</v>
      </c>
      <c r="G8" s="109">
        <v>0.15</v>
      </c>
      <c r="H8" s="111"/>
      <c r="L8" s="61" t="s">
        <v>217</v>
      </c>
    </row>
    <row r="9" spans="2:14" ht="14.25" x14ac:dyDescent="0.45">
      <c r="B9" s="89" t="s">
        <v>106</v>
      </c>
      <c r="C9" s="99">
        <v>0.2</v>
      </c>
      <c r="D9" s="90">
        <v>0.02</v>
      </c>
      <c r="E9" s="90">
        <v>0.02</v>
      </c>
      <c r="F9" s="90">
        <v>0.2</v>
      </c>
      <c r="G9" s="109">
        <v>0.15</v>
      </c>
      <c r="H9" s="111"/>
      <c r="L9" s="52" t="s">
        <v>200</v>
      </c>
    </row>
    <row r="10" spans="2:14" ht="14.25" x14ac:dyDescent="0.45">
      <c r="B10" s="89" t="s">
        <v>127</v>
      </c>
      <c r="C10" s="99">
        <v>0.3</v>
      </c>
      <c r="D10" s="90">
        <v>0.1</v>
      </c>
      <c r="E10" s="90">
        <v>0.1</v>
      </c>
      <c r="F10" s="90">
        <v>0.3</v>
      </c>
      <c r="G10" s="109">
        <v>0.22</v>
      </c>
      <c r="H10" s="111"/>
      <c r="L10" s="52" t="s">
        <v>201</v>
      </c>
    </row>
    <row r="11" spans="2:14" ht="14.25" x14ac:dyDescent="0.45">
      <c r="B11" s="89" t="s">
        <v>128</v>
      </c>
      <c r="C11" s="99">
        <v>0.4</v>
      </c>
      <c r="D11" s="90">
        <v>0.2</v>
      </c>
      <c r="E11" s="90">
        <v>0.12</v>
      </c>
      <c r="F11" s="90">
        <v>0.4</v>
      </c>
      <c r="G11" s="109">
        <v>0.3</v>
      </c>
      <c r="H11" s="111"/>
      <c r="L11" s="52" t="s">
        <v>202</v>
      </c>
    </row>
    <row r="12" spans="2:14" ht="14.25" x14ac:dyDescent="0.45">
      <c r="B12" s="89" t="s">
        <v>129</v>
      </c>
      <c r="C12" s="99">
        <v>0.2</v>
      </c>
      <c r="D12" s="90">
        <v>0.2</v>
      </c>
      <c r="E12" s="90">
        <v>0.12</v>
      </c>
      <c r="F12" s="90">
        <v>0.4</v>
      </c>
      <c r="G12" s="109">
        <v>0.3</v>
      </c>
      <c r="H12" s="111"/>
      <c r="L12" s="52" t="s">
        <v>203</v>
      </c>
    </row>
    <row r="13" spans="2:14" ht="14.25" x14ac:dyDescent="0.45">
      <c r="B13" s="89" t="s">
        <v>108</v>
      </c>
      <c r="C13" s="99">
        <v>0.2</v>
      </c>
      <c r="D13" s="90">
        <v>0.02</v>
      </c>
      <c r="E13" s="90">
        <v>0.02</v>
      </c>
      <c r="F13" s="90">
        <v>0.2</v>
      </c>
      <c r="G13" s="109">
        <v>0.1</v>
      </c>
      <c r="H13" s="111"/>
    </row>
    <row r="14" spans="2:14" ht="14.25" x14ac:dyDescent="0.45">
      <c r="B14" s="89" t="s">
        <v>130</v>
      </c>
      <c r="C14" s="99">
        <v>0.2</v>
      </c>
      <c r="D14" s="90">
        <v>0.1</v>
      </c>
      <c r="E14" s="90">
        <v>0.05</v>
      </c>
      <c r="F14" s="90">
        <v>0.2</v>
      </c>
      <c r="G14" s="96">
        <v>0.1</v>
      </c>
    </row>
    <row r="15" spans="2:14" ht="14.25" x14ac:dyDescent="0.45">
      <c r="B15" s="89" t="s">
        <v>131</v>
      </c>
      <c r="C15" s="99">
        <v>0.04</v>
      </c>
      <c r="D15" s="90">
        <v>0.01</v>
      </c>
      <c r="E15" s="90">
        <v>0.01</v>
      </c>
      <c r="F15" s="90">
        <v>0.04</v>
      </c>
      <c r="G15" s="96">
        <v>0.02</v>
      </c>
    </row>
    <row r="16" spans="2:14" ht="14.25" x14ac:dyDescent="0.45">
      <c r="B16" s="89" t="s">
        <v>132</v>
      </c>
      <c r="C16" s="99">
        <v>0.01</v>
      </c>
      <c r="D16" s="90">
        <v>0.01</v>
      </c>
      <c r="E16" s="90">
        <v>5.0000000000000001E-3</v>
      </c>
      <c r="F16" s="90">
        <v>0.01</v>
      </c>
      <c r="G16" s="96">
        <v>5.0000000000000001E-3</v>
      </c>
    </row>
    <row r="17" spans="2:7" ht="14.25" x14ac:dyDescent="0.45">
      <c r="B17" s="89" t="s">
        <v>133</v>
      </c>
      <c r="C17" s="99">
        <v>0.04</v>
      </c>
      <c r="D17" s="90">
        <v>0.02</v>
      </c>
      <c r="E17" s="90">
        <v>0.01</v>
      </c>
      <c r="F17" s="90">
        <v>0.04</v>
      </c>
      <c r="G17" s="96">
        <v>0.02</v>
      </c>
    </row>
    <row r="18" spans="2:7" ht="14.25" x14ac:dyDescent="0.45">
      <c r="B18" s="89" t="s">
        <v>134</v>
      </c>
      <c r="C18" s="99">
        <v>0.04</v>
      </c>
      <c r="D18" s="90">
        <v>0.02</v>
      </c>
      <c r="E18" s="90">
        <v>0.01</v>
      </c>
      <c r="F18" s="90">
        <v>0.04</v>
      </c>
      <c r="G18" s="96">
        <v>0.02</v>
      </c>
    </row>
    <row r="19" spans="2:7" ht="14.25" x14ac:dyDescent="0.45">
      <c r="B19" s="89" t="s">
        <v>135</v>
      </c>
      <c r="C19" s="99">
        <v>0.05</v>
      </c>
      <c r="D19" s="90">
        <v>0.05</v>
      </c>
      <c r="E19" s="90">
        <v>0.02</v>
      </c>
      <c r="F19" s="90">
        <v>0.01</v>
      </c>
      <c r="G19" s="96">
        <v>5.0000000000000001E-3</v>
      </c>
    </row>
    <row r="20" spans="2:7" ht="14.25" x14ac:dyDescent="0.45">
      <c r="B20" s="89" t="s">
        <v>136</v>
      </c>
      <c r="C20" s="99">
        <v>0.01</v>
      </c>
      <c r="D20" s="90">
        <v>0.01</v>
      </c>
      <c r="E20" s="90">
        <v>5.0000000000000001E-3</v>
      </c>
      <c r="F20" s="90">
        <v>0.01</v>
      </c>
      <c r="G20" s="96">
        <v>5.0000000000000001E-3</v>
      </c>
    </row>
    <row r="21" spans="2:7" ht="14.25" x14ac:dyDescent="0.45">
      <c r="B21" s="89" t="s">
        <v>137</v>
      </c>
      <c r="C21" s="99">
        <v>0.25</v>
      </c>
      <c r="D21" s="90">
        <v>0.1</v>
      </c>
      <c r="E21" s="90">
        <v>0.1</v>
      </c>
      <c r="F21" s="90">
        <v>0.25</v>
      </c>
      <c r="G21" s="96">
        <v>0.15</v>
      </c>
    </row>
    <row r="22" spans="2:7" ht="14.25" x14ac:dyDescent="0.45">
      <c r="B22" s="89" t="s">
        <v>138</v>
      </c>
      <c r="C22" s="99">
        <v>0.1</v>
      </c>
      <c r="D22" s="90">
        <v>0.1</v>
      </c>
      <c r="E22" s="90">
        <v>0.1</v>
      </c>
      <c r="F22" s="90">
        <v>0.15</v>
      </c>
      <c r="G22" s="96">
        <v>0.15</v>
      </c>
    </row>
    <row r="23" spans="2:7" ht="14.25" x14ac:dyDescent="0.45">
      <c r="B23" s="89" t="s">
        <v>139</v>
      </c>
      <c r="C23" s="99">
        <v>0.1</v>
      </c>
      <c r="D23" s="90">
        <v>0.05</v>
      </c>
      <c r="E23" s="90">
        <v>0.03</v>
      </c>
      <c r="F23" s="90">
        <v>0.1</v>
      </c>
      <c r="G23" s="96">
        <v>0.1</v>
      </c>
    </row>
    <row r="24" spans="2:7" ht="14.25" x14ac:dyDescent="0.45">
      <c r="B24" s="89" t="s">
        <v>111</v>
      </c>
      <c r="C24" s="99">
        <v>0.06</v>
      </c>
      <c r="D24" s="90">
        <v>0.03</v>
      </c>
      <c r="E24" s="90">
        <v>0.01</v>
      </c>
      <c r="F24" s="90">
        <v>0.06</v>
      </c>
      <c r="G24" s="96">
        <v>0.04</v>
      </c>
    </row>
    <row r="25" spans="2:7" ht="14.25" x14ac:dyDescent="0.45">
      <c r="B25" s="89" t="s">
        <v>140</v>
      </c>
      <c r="C25" s="99">
        <v>0.2</v>
      </c>
      <c r="D25" s="90">
        <v>0.1</v>
      </c>
      <c r="E25" s="90">
        <v>0.05</v>
      </c>
      <c r="F25" s="90">
        <v>0.2</v>
      </c>
      <c r="G25" s="96">
        <v>0.1</v>
      </c>
    </row>
    <row r="26" spans="2:7" ht="14.25" x14ac:dyDescent="0.4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ht="30"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32</vt:i4>
      </vt:variant>
    </vt:vector>
  </HeadingPairs>
  <TitlesOfParts>
    <vt:vector size="41" baseType="lpstr">
      <vt:lpstr>Instructions</vt:lpstr>
      <vt:lpstr>ITS Delay Worksheet</vt:lpstr>
      <vt:lpstr>Emissions Reduction Worksheet</vt:lpstr>
      <vt:lpstr>Inputs &amp; Outputs</vt:lpstr>
      <vt:lpstr>Narrative</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Mohammad Huq, P.E., PTOE</cp:lastModifiedBy>
  <cp:lastPrinted>2018-07-16T14:36:56Z</cp:lastPrinted>
  <dcterms:created xsi:type="dcterms:W3CDTF">2012-07-25T15:48:32Z</dcterms:created>
  <dcterms:modified xsi:type="dcterms:W3CDTF">2018-10-29T17:56:06Z</dcterms:modified>
</cp:coreProperties>
</file>